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M/LOogc+7icI+8Jo8/IjUIce8Kb2XDd4MR7KTA6EcgVHWi8MCppHc7PQyAap8Mf8XSaONoP9dYMrcmuRdoaN3Q==" workbookSaltValue="bjpDOMmNtmm7lp3D5UzZ/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BD9" i="8"/>
  <c r="AL20" i="20"/>
  <c r="E20" i="20"/>
  <c r="AC20" i="20"/>
  <c r="H17" i="2" l="1"/>
  <c r="BG15" i="8"/>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<sst xmlns="http://schemas.openxmlformats.org/spreadsheetml/2006/main" count="2080" uniqueCount="912">
  <si>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</si>
  <si>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</si>
  <si>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</si>
  <si>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</si>
  <si>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</si>
  <si>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</si>
  <si>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</si>
  <si>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</si>
  <si>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</si>
  <si>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</si>
  <si>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</si>
  <si>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</si>
  <si>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</si>
  <si>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</si>
  <si>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</si>
  <si>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</si>
  <si>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</si>
  <si>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</si>
  <si>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</si>
  <si>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</si>
  <si>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</si>
  <si>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</si>
  <si>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</si>
  <si>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</si>
  <si>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</si>
  <si>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</si>
  <si>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</si>
  <si>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</si>
  <si>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</si>
  <si>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</si>
  <si>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</si>
  <si>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</si>
  <si>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</si>
  <si>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</si>
  <si>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</si>
  <si>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</si>
  <si>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</si>
  <si>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</si>
  <si>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</si>
  <si>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</si>
  <si>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</si>
  <si>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</si>
  <si>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</si>
  <si>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</si>
  <si>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</si>
  <si>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</si>
  <si>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</si>
  <si>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</si>
  <si>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</si>
  <si>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</si>
  <si>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</si>
  <si>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</si>
  <si>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</si>
  <si>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</si>
  <si>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</si>
  <si>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</si>
  <si>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</si>
  <si>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</si>
  <si>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</si>
  <si>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</si>
  <si>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</si>
  <si>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</si>
  <si>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</si>
  <si>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</si>
  <si>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</si>
  <si>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</si>
  <si>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</si>
  <si>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</si>
  <si>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</si>
  <si>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</si>
  <si>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</si>
  <si>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</si>
  <si>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</si>
  <si>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</si>
  <si>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</si>
  <si>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</si>
  <si>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</si>
  <si>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</si>
  <si>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</si>
  <si>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</si>
  <si>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</si>
  <si>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</si>
  <si>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</si>
  <si>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</si>
  <si>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</si>
  <si>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</si>
  <si>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</si>
  <si>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</si>
  <si>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</si>
  <si>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</si>
  <si>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</si>
  <si>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</si>
  <si>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</si>
  <si>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</si>
  <si>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</si>
  <si>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</si>
  <si>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</si>
  <si>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</si>
  <si>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</si>
  <si>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</si>
  <si>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</si>
  <si>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</si>
  <si>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</si>
  <si>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</si>
  <si>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</si>
  <si>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</si>
  <si>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</si>
  <si>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</si>
  <si>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</si>
  <si>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</si>
  <si>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</si>
  <si>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</si>
  <si>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</si>
  <si>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</si>
  <si>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</si>
  <si>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</si>
  <si>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</si>
  <si>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</si>
  <si>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</si>
  <si>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</si>
  <si>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</si>
  <si>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</si>
  <si>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</si>
  <si>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</si>
  <si>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</si>
  <si>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</si>
  <si>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</si>
  <si>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</si>
  <si>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</si>
  <si>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</si>
  <si>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</si>
  <si>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</si>
  <si>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</si>
  <si>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</si>
  <si>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</si>
  <si>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</si>
  <si>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</si>
  <si>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</si>
  <si>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</si>
  <si>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</si>
  <si>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</si>
  <si>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</si>
  <si>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</si>
  <si>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</si>
  <si>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</si>
  <si>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</si>
  <si>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</si>
  <si>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</si>
  <si>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</si>
  <si>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</si>
  <si>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</si>
  <si>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</si>
  <si>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</si>
  <si>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</si>
  <si>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</si>
  <si>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</si>
  <si>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</si>
  <si>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</si>
  <si>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</si>
  <si>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</si>
  <si>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</si>
  <si>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</si>
  <si>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</si>
  <si>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</si>
  <si>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</si>
  <si>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</si>
  <si>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</si>
  <si>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</si>
  <si>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</si>
  <si>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</si>
  <si>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</si>
  <si>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</si>
  <si>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</si>
  <si>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</si>
  <si>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</si>
  <si>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</si>
  <si>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</si>
  <si>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</si>
  <si>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</si>
  <si>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</si>
  <si>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</si>
  <si>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</si>
  <si>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</si>
  <si>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</si>
  <si>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</si>
  <si>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</si>
  <si>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</si>
  <si>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</si>
  <si>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</si>
  <si>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</si>
  <si>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</si>
  <si>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</si>
  <si>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</si>
  <si>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</si>
  <si>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</si>
  <si>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</si>
  <si>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</si>
  <si>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</si>
  <si>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</si>
  <si>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</si>
  <si>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</si>
  <si>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</si>
  <si>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</si>
  <si>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</si>
  <si>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</si>
  <si>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</si>
  <si>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</si>
  <si>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</si>
  <si>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</si>
  <si>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</si>
  <si>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</si>
  <si>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</si>
  <si>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</si>
  <si>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</si>
  <si>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</si>
  <si>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</si>
  <si>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</si>
  <si>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</si>
  <si>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</si>
  <si>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</si>
  <si>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</si>
  <si>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</si>
  <si>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</si>
  <si>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</si>
  <si>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</si>
  <si>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</si>
  <si>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</si>
  <si>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</si>
  <si>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</si>
  <si>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</si>
  <si>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</si>
  <si>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</si>
  <si>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</si>
  <si>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</si>
  <si>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</si>
  <si>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</si>
  <si>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</si>
  <si>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</si>
  <si>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</si>
  <si>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</si>
  <si>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</si>
  <si>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</si>
  <si>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</si>
  <si>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</si>
  <si>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</si>
  <si>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</si>
  <si>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</si>
  <si>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</si>
  <si>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</si>
  <si>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</si>
  <si>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</si>
  <si>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</si>
  <si>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</si>
  <si>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</si>
  <si>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</si>
  <si>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</si>
  <si>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</si>
  <si>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</si>
  <si>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</si>
  <si>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</si>
  <si>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</si>
  <si>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</si>
  <si>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</si>
  <si>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</si>
  <si>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</si>
  <si>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</si>
  <si>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</si>
  <si>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</si>
  <si>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</si>
  <si>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</si>
  <si>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</si>
  <si>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</si>
  <si>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</si>
  <si>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</si>
  <si>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</si>
  <si>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</si>
  <si>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</si>
  <si>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</si>
  <si>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</si>
  <si>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</si>
  <si>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</si>
  <si>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</si>
  <si>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</si>
  <si>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</si>
  <si>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</si>
  <si>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</si>
  <si>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</si>
  <si>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</si>
  <si>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</si>
  <si>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</si>
  <si>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</si>
  <si>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</si>
  <si>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</si>
  <si>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</si>
  <si>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</si>
  <si>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</si>
  <si>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</si>
  <si>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</si>
  <si>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</si>
  <si>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</si>
  <si>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</si>
  <si>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</si>
  <si>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</si>
  <si>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</si>
  <si>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</si>
  <si>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</si>
  <si>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</si>
  <si>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</si>
  <si>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</si>
  <si>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</si>
  <si>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</si>
  <si>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</si>
  <si>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</si>
  <si>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</si>
  <si>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</si>
  <si>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</si>
  <si>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</si>
  <si>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</si>
  <si>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</si>
  <si>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</si>
  <si>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</si>
  <si>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</si>
  <si>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</si>
  <si>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</si>
  <si>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</si>
  <si>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</si>
  <si>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</si>
  <si>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</si>
  <si>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</si>
  <si>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</si>
  <si>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</si>
  <si>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</si>
  <si>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</si>
  <si>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</si>
  <si>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</si>
  <si>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</si>
  <si>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</si>
  <si>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</si>
  <si>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</si>
  <si>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</si>
  <si>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</si>
  <si>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</si>
  <si>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</si>
  <si>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</si>
  <si>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</si>
  <si>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</si>
  <si>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</si>
  <si>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</si>
  <si>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</si>
  <si>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</si>
  <si>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</si>
  <si>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</si>
  <si>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</si>
  <si>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</si>
  <si>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</si>
  <si>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</si>
  <si>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</si>
  <si>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</si>
  <si>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</si>
  <si>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</si>
  <si>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</si>
  <si>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</si>
  <si>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</si>
  <si>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</si>
  <si>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</si>
  <si>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</si>
  <si>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</si>
  <si>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</si>
  <si>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</si>
  <si>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</si>
  <si>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</si>
  <si>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</si>
  <si>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</si>
  <si>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</si>
  <si>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</si>
  <si>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</si>
  <si>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</si>
  <si>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</si>
  <si>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</si>
  <si>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</si>
  <si>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</si>
  <si>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</si>
  <si>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</si>
  <si>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</si>
  <si>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</si>
  <si>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</si>
  <si>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</si>
  <si>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</si>
  <si>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</si>
  <si>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</si>
  <si>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</si>
  <si>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</si>
  <si>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</si>
  <si>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</si>
  <si>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</si>
  <si>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</si>
  <si>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</si>
  <si>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</si>
  <si>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</si>
  <si>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</si>
  <si>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</si>
  <si>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</si>
  <si>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</si>
  <si>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</si>
  <si>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</si>
  <si>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</si>
  <si>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</si>
  <si>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</si>
  <si>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</si>
  <si>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</si>
  <si>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</si>
  <si>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</si>
  <si>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</si>
  <si>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</si>
  <si>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</si>
  <si>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</si>
  <si>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</si>
  <si>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</si>
  <si>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</si>
  <si>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</si>
  <si>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</si>
  <si>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</si>
  <si>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</si>
  <si>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</si>
  <si>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</si>
  <si>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</si>
  <si>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</si>
  <si>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</si>
  <si>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</si>
  <si>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</si>
  <si>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</si>
  <si>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</si>
  <si>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</si>
  <si>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</si>
  <si>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</si>
  <si>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</si>
  <si>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</si>
  <si>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</si>
  <si>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</si>
  <si>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</si>
  <si>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</si>
  <si>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</si>
  <si>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</si>
  <si>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</si>
  <si>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</si>
  <si>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</si>
  <si>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</si>
  <si>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</si>
  <si>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</si>
  <si>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</si>
  <si>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</si>
  <si>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</si>
  <si>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</si>
  <si>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</si>
  <si>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</si>
  <si>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</si>
  <si>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</si>
  <si>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</si>
  <si>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</si>
  <si>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</si>
  <si>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</si>
  <si>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</si>
  <si>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</si>
  <si>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</si>
  <si>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</si>
  <si>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</si>
  <si>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</si>
  <si>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</si>
  <si>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</si>
  <si>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</si>
  <si>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</si>
  <si>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</si>
  <si>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</si>
  <si>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</si>
  <si>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</si>
  <si>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</si>
  <si>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</si>
  <si>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</si>
  <si>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</si>
  <si>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</si>
  <si>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</si>
  <si>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</si>
  <si>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</si>
  <si>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</si>
  <si>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</si>
  <si>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</si>
  <si>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</si>
  <si>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</si>
  <si>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</si>
  <si>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</si>
  <si>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</si>
  <si>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</si>
  <si>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</si>
  <si>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</si>
  <si>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</si>
  <si>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</si>
  <si>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</si>
  <si>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</si>
  <si>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</si>
  <si>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</si>
  <si>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</si>
  <si>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</si>
  <si>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</si>
  <si>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</si>
  <si>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</si>
  <si>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</si>
  <si>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</si>
  <si>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</si>
  <si>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</si>
  <si>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</si>
  <si>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</si>
  <si>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</si>
  <si>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</si>
  <si>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</si>
  <si>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</si>
  <si>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</si>
  <si>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</si>
  <si>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</si>
  <si>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</si>
  <si>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</si>
  <si>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</si>
  <si>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</si>
  <si>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</si>
  <si>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</si>
  <si>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</si>
  <si>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</si>
  <si>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</si>
  <si>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</si>
  <si>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</si>
  <si>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</si>
  <si>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</si>
  <si>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</si>
  <si>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</si>
  <si>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</si>
  <si>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</si>
  <si>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</si>
  <si>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</si>
  <si>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</si>
  <si>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</si>
  <si>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</si>
  <si>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</si>
  <si>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</si>
  <si>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</si>
  <si>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</si>
  <si>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</si>
  <si>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</si>
  <si>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</si>
  <si>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</si>
  <si>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</si>
  <si>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</si>
  <si>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</si>
  <si>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</si>
  <si>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</si>
  <si>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</si>
  <si>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</si>
  <si>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</si>
  <si>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</si>
  <si>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</si>
  <si>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</si>
  <si>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</si>
  <si>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</si>
  <si>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</si>
  <si>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</si>
  <si>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</si>
  <si>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</si>
  <si>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</si>
  <si>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</si>
  <si>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</si>
  <si>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</si>
  <si>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</si>
  <si>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</si>
  <si>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</si>
  <si>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</si>
  <si>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</si>
  <si>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</si>
  <si>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</si>
  <si>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</si>
  <si>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</si>
  <si>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</si>
  <si>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</si>
  <si>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</si>
  <si>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</si>
  <si>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</si>
  <si>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</si>
  <si>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</si>
  <si>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</si>
  <si>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</si>
  <si>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</si>
  <si>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</si>
  <si>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</si>
  <si>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</si>
  <si>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</si>
  <si>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</si>
  <si>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</si>
  <si>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</si>
  <si>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</si>
  <si>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</si>
  <si>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</si>
  <si>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</si>
  <si>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</si>
  <si>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</si>
  <si>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</si>
  <si>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</si>
  <si>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</si>
  <si>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</si>
  <si>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</si>
  <si>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</si>
  <si>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</si>
  <si>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</si>
  <si>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</si>
  <si>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</si>
  <si>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</si>
  <si>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</si>
  <si>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</si>
  <si>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</si>
  <si>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</si>
  <si>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</si>
  <si>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</si>
  <si>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</si>
  <si>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</si>
  <si>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</si>
  <si>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</si>
  <si>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</si>
  <si>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</si>
  <si>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</si>
  <si>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</si>
  <si>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</si>
  <si>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</si>
  <si>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</si>
  <si>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</si>
  <si>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</si>
  <si>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</si>
  <si>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</si>
  <si>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</si>
  <si>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</si>
  <si>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</si>
  <si>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</si>
  <si>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</si>
  <si>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</si>
  <si>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</si>
  <si>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</si>
  <si>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</si>
  <si>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</si>
  <si>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</si>
  <si>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</si>
  <si>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</si>
  <si>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</si>
  <si>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</si>
  <si>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</si>
  <si>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</si>
  <si>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</si>
  <si>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</si>
  <si>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</si>
  <si>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</si>
  <si>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</si>
  <si>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</si>
  <si>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</si>
  <si>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</si>
  <si>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</si>
  <si>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</si>
  <si>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</si>
  <si>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</si>
  <si>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</si>
  <si>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</si>
  <si>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</si>
  <si>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</si>
  <si>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</si>
  <si>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</si>
  <si>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</si>
  <si>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</si>
  <si>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</si>
  <si>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</si>
  <si>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</si>
  <si>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</si>
  <si>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</si>
  <si>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</si>
  <si>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</si>
  <si>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</si>
  <si>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</si>
  <si>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</si>
  <si>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</si>
  <si>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</si>
  <si>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</si>
  <si>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</si>
  <si>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</si>
  <si>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</si>
  <si>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</si>
  <si>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</si>
  <si>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</si>
  <si>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</si>
  <si>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</si>
  <si>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</si>
  <si>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</si>
  <si>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</si>
  <si>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</si>
  <si>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</si>
  <si>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</si>
  <si>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</si>
  <si>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</si>
  <si>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</si>
  <si>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</si>
  <si>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</si>
  <si>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</si>
  <si>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</si>
  <si>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</si>
  <si>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</si>
  <si>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</si>
  <si>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</si>
  <si>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</si>
  <si>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</si>
  <si>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</si>
  <si>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</si>
  <si>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</si>
  <si>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</si>
  <si>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</si>
  <si>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</si>
  <si>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</si>
  <si>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</si>
  <si>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</si>
  <si>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</si>
  <si>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</si>
  <si>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</si>
  <si>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</si>
  <si>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</si>
  <si>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</si>
  <si>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</si>
  <si>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</si>
  <si>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</si>
  <si>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</si>
  <si>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</si>
  <si>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</si>
  <si>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</si>
  <si>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</si>
  <si>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</si>
  <si>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</si>
  <si>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</si>
  <si>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</si>
  <si>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</si>
  <si>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</si>
  <si>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</si>
  <si>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</si>
  <si>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</si>
  <si>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</si>
  <si>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</si>
  <si>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</si>
  <si>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</si>
  <si>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</si>
  <si>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</si>
  <si>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</si>
  <si>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</si>
  <si>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</si>
  <si>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</si>
  <si>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</si>
  <si>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</si>
  <si>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</si>
  <si>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</si>
  <si>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</si>
  <si>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</si>
  <si>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</si>
  <si>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</si>
  <si>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</si>
  <si>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</si>
  <si>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</si>
  <si>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</si>
  <si>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</si>
  <si>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</si>
  <si>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</si>
  <si>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</si>
  <si>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</si>
  <si>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</si>
  <si>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</si>
  <si>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</si>
  <si>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</si>
  <si>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</si>
  <si>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</si>
  <si>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</si>
  <si>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</si>
  <si>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</si>
  <si>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</si>
  <si>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</si>
  <si>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</si>
  <si>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</si>
  <si>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</si>
  <si>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</si>
  <si>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</si>
  <si>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</si>
  <si>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</si>
  <si>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</si>
  <si>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</si>
  <si>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</si>
  <si>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</si>
  <si>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</si>
  <si>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</si>
  <si>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</si>
  <si>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</si>
  <si>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</si>
  <si>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</si>
  <si>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</si>
  <si>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</si>
  <si>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</si>
  <si>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</si>
  <si>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</si>
  <si>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</si>
  <si>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</si>
  <si>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</si>
  <si>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</si>
  <si>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</si>
  <si>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</si>
  <si>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</si>
  <si>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</si>
  <si>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</si>
  <si>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</si>
  <si>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</si>
  <si>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</si>
  <si>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</si>
  <si>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</si>
  <si>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</si>
  <si>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</si>
  <si>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</si>
  <si>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</si>
  <si>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</si>
  <si>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</si>
  <si>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</si>
  <si>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</si>
  <si>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</si>
  <si>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</si>
  <si>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</si>
  <si>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</si>
  <si>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</si>
  <si>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</si>
  <si>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</si>
  <si>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</si>
  <si>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</si>
  <si>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</si>
  <si>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</si>
  <si>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</si>
  <si>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</si>
  <si>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</si>
  <si>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</si>
  <si>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</si>
  <si>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</si>
  <si>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</si>
  <si>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</si>
  <si>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</si>
  <si>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</si>
  <si>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</si>
  <si>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</si>
  <si>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</si>
  <si>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</si>
  <si>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</si>
  <si>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</si>
  <si>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</si>
  <si>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</si>
  <si>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</si>
  <si>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</si>
  <si>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</si>
  <si>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</si>
  <si>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</si>
  <si>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</si>
  <si>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</si>
  <si>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</si>
  <si>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</si>
  <si>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</si>
  <si>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</si>
  <si>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</si>
  <si>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</si>
  <si>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</si>
  <si>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</si>
  <si>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</si>
  <si>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</si>
  <si>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</si>
  <si>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</si>
  <si>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</si>
  <si>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</si>
  <si>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</si>
  <si>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</si>
  <si>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</si>
  <si>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</si>
  <si>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</si>
  <si>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</si>
  <si>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</si>
  <si>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</si>
  <si>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</si>
  <si>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</si>
  <si>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</si>
  <si>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</si>
  <si>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</si>
  <si>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</si>
  <si>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</si>
  <si>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</si>
  <si>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</si>
  <si>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</si>
  <si>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</si>
  <si>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</si>
  <si>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</si>
  <si>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</si>
  <si>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</si>
  <si>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</si>
  <si>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</si>
  <si>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</si>
  <si>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</si>
  <si>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</si>
  <si>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</si>
  <si>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</si>
  <si>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</si>
  <si>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</si>
  <si>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</si>
  <si>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</si>
  <si>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ASTURIAS</t>
  </si>
  <si>
    <t>Provincias</t>
  </si>
  <si>
    <t>Resumenes por Partidos Judiciales</t>
  </si>
  <si>
    <t>OVIEDO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</si>
</sst>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4SVT4mCQqxFuJBastbCvP0Q1U29u8XT+n+0uQXu+5q4oXsTchdq4lTOcgZoNnNJxE/R+eD/qYjLDKsFa9WAjng==" saltValue="GMbP/uhT1DM8+7U+0nAF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9</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21.669303797468356</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97</v>
      </c>
      <c r="D10" s="229">
        <f>IF(ISNUMBER(Datos!I10),Datos!I10," - ")</f>
        <v>97</v>
      </c>
      <c r="E10" s="230">
        <f>IF(ISNUMBER(Datos!J10),Datos!J10," - ")</f>
        <v>60</v>
      </c>
      <c r="F10" s="230">
        <f>IF(ISNUMBER(Datos!K10),Datos!K10," - ")</f>
        <v>21</v>
      </c>
      <c r="G10" s="1189" t="str">
        <f>IF(Datos!E10&lt;&gt;"",Datos!E10,Datos!D10)</f>
        <v>37</v>
      </c>
      <c r="H10" s="231">
        <f>IF(ISNUMBER(Datos!L10),Datos!L10," - ")</f>
        <v>136</v>
      </c>
      <c r="I10" s="1199" t="str">
        <f>IF(ISNUMBER(Datos!AS10/Datos!BM10),Datos!AS10/Datos!BM10," - ")</f>
        <v xml:space="preserve"> - </v>
      </c>
      <c r="J10" s="1200">
        <f>IF(ISNUMBER(Datos!BY10/Datos!CN10),Datos!BY10/Datos!CN10," - ")</f>
        <v>0</v>
      </c>
      <c r="K10" s="234">
        <f t="shared" ref="K10:K12" si="1">IF(ISNUMBER((E10-F10)/C10),(E10-F10)/C10," - ")</f>
        <v>0.40206185567010311</v>
      </c>
      <c r="L10" s="1201">
        <f>IF(ISNUMBER(NºAsuntos!I10/NºAsuntos!G10),(NºAsuntos!I10/NºAsuntos!G10)*11," - ")</f>
        <v>71.238095238095241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8.0535714285714288</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97</v>
      </c>
      <c r="D13" s="1206">
        <f>SUBTOTAL(9,D9:D12)</f>
        <v>97</v>
      </c>
      <c r="E13" s="1207">
        <f>SUBTOTAL(9,E9:E12)</f>
        <v>60</v>
      </c>
      <c r="F13" s="1208">
        <f>SUBTOTAL(9,F9:F12)</f>
        <v>21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2134</v>
      </c>
      <c r="D15" s="229">
        <f>IF(ISNUMBER(IF(D_I="SI",Datos!I15,Datos!I15+Datos!AC15)),IF(D_I="SI",Datos!I15,Datos!I15+Datos!AC15)," - ")</f>
        <v>2102</v>
      </c>
      <c r="E15" s="230">
        <f>IF(ISNUMBER(IF(D_I="SI",Datos!J15,Datos!J15+Datos!AD15)),IF(D_I="SI",Datos!J15,Datos!J15+Datos!AD15)," - ")</f>
        <v>2845</v>
      </c>
      <c r="F15" s="230">
        <f>IF(ISNUMBER(IF(D_I="SI",Datos!K15,Datos!K15+Datos!AE15)),IF(D_I="SI",Datos!K15,Datos!K15+Datos!AE15)," - ")</f>
        <v>2389</v>
      </c>
      <c r="G15" s="1189" t="str">
        <f>IF(Datos!E15&lt;&gt;"",Datos!E15,Datos!D15)</f>
        <v>03</v>
      </c>
      <c r="H15" s="231">
        <f>IF(ISNUMBER(IF(D_I="SI",Datos!L15,Datos!L15+Datos!AF15)),IF(D_I="SI",Datos!L15,Datos!L15+Datos!AF15)," - ")</f>
        <v>2590</v>
      </c>
      <c r="I15" s="1199" t="str">
        <f>IF(ISNUMBER(Datos!AS15/Datos!BM15),Datos!AS15/Datos!BM15," - ")</f>
        <v xml:space="preserve"> - </v>
      </c>
      <c r="J15" s="1200">
        <f>IF(ISNUMBER(Datos!BY15/Datos!CN15),Datos!BY15/Datos!CN15," - ")</f>
        <v>0</v>
      </c>
      <c r="K15" s="234">
        <f t="shared" ref="K15:K17" si="3">IF(ISNUMBER((E15-F15)/C15),(E15-F15)/C15," - ")</f>
        <v>0.21368322399250234</v>
      </c>
      <c r="L15" s="1201">
        <f>IF(ISNUMBER(NºAsuntos!I15/NºAsuntos!G15),(NºAsuntos!I15/NºAsuntos!G15)*11," - ")</f>
        <v>11.92549183758895</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195</v>
      </c>
      <c r="D17" s="229">
        <f>IF(ISNUMBER(IF(D_I="SI",Datos!I17,Datos!I17+Datos!AC17)),IF(D_I="SI",Datos!I17,Datos!I17+Datos!AC17)," - ")</f>
        <v>195</v>
      </c>
      <c r="E17" s="230">
        <f>IF(ISNUMBER(IF(D_I="SI",Datos!J17,Datos!J17+Datos!AD17)),IF(D_I="SI",Datos!J17,Datos!J17+Datos!AD17)," - ")</f>
        <v>274</v>
      </c>
      <c r="F17" s="230">
        <f>IF(ISNUMBER(IF(D_I="SI",Datos!K17,Datos!K17+Datos!AE17)),IF(D_I="SI",Datos!K17,Datos!K17+Datos!AE17)," - ")</f>
        <v>165</v>
      </c>
      <c r="G17" s="1189" t="str">
        <f>IF(Datos!E17&lt;&gt;"",Datos!E17,Datos!D17)</f>
        <v>37</v>
      </c>
      <c r="H17" s="231">
        <f>IF(ISNUMBER(IF(D_I="SI",Datos!L17,Datos!L17+Datos!AF17)),IF(D_I="SI",Datos!L17,Datos!L17+Datos!AF17)," - ")</f>
        <v>304</v>
      </c>
      <c r="I17" s="1199" t="str">
        <f>IF(ISNUMBER(Datos!AS17/Datos!BM17),Datos!AS17/Datos!BM17," - ")</f>
        <v xml:space="preserve"> - </v>
      </c>
      <c r="J17" s="1200" t="str">
        <f>IF(ISNUMBER((Datos!BY17+Datos!BZ17)/Datos!CN17),(Datos!BY17+Datos!BZ17)/Datos!CN17," - ")</f>
        <v xml:space="preserve"> - </v>
      </c>
      <c r="K17" s="234">
        <f t="shared" si="3"/>
        <v>0.55897435897435899</v>
      </c>
      <c r="L17" s="1201">
        <f>IF(ISNUMBER(NºAsuntos!I17/NºAsuntos!G17),(NºAsuntos!I17/NºAsuntos!G17)*11," - ")</f>
        <v>20.266666666666669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2329</v>
      </c>
      <c r="D18" s="1206">
        <f>SUBTOTAL(9,D15:D17)</f>
        <v>2297</v>
      </c>
      <c r="E18" s="1207">
        <f>SUBTOTAL(9,E15:E17)</f>
        <v>3119</v>
      </c>
      <c r="F18" s="1207">
        <f>SUBTOTAL(9,F15:F17)</f>
        <v>2554</v>
      </c>
      <c r="G18" s="1209" t="str">
        <f ca="1">INDIRECT(CONCATENATE("G",ROW()-1))</f>
        <v>37</v>
      </c>
      <c r="H18" s="1210">
        <f ca="1">SUMIF(G$14:G17,G18,H$14:H17)</f>
        <v>304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2426</v>
      </c>
      <c r="D19" s="1228">
        <f>SUBTOTAL(9,D9:D18)</f>
        <v>2394</v>
      </c>
      <c r="E19" s="1229">
        <f>SUBTOTAL(9,E9:E18)</f>
        <v>3179</v>
      </c>
      <c r="F19" s="1229">
        <f>SUBTOTAL(9,F9:F18)</f>
        <v>2575</v>
      </c>
      <c r="G19" s="1230"/>
      <c r="H19" s="1231">
        <f ca="1">SUMIF(B9:B18,"TOTAL",H9:H18)</f>
        <v>304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gXaqq7fJ6GaGeB/EH6Wc14fPdjf1QsbJ/DtQoFqmUh/h+nLUvl1AhoBsJBQny6H0MuYcHibHt7Z272O7uu3Y2w==" saltValue="Cp8CDHS2CTD2sGa+MoQ3Y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GsTsyyqafuIjzapCm85As7lX4pcwCUe0JB4tu2RkP/Tc/C+qV7/KqSwPA5JUYeprlfFCQfWxKStxgBPlHVVig==" saltValue="naY2Lbv6m6RKrDjBt1Vm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5667</v>
      </c>
      <c r="J9" s="185">
        <v>1546</v>
      </c>
      <c r="K9" s="185">
        <v>2383</v>
      </c>
      <c r="L9" s="185">
        <v>4825</v>
      </c>
      <c r="M9" s="185">
        <v>854</v>
      </c>
      <c r="N9" s="185">
        <v>824</v>
      </c>
      <c r="O9" s="185">
        <v>1041</v>
      </c>
      <c r="P9" s="185">
        <v>364</v>
      </c>
      <c r="Q9" s="185">
        <v>798</v>
      </c>
      <c r="R9" s="185">
        <v>10098</v>
      </c>
      <c r="S9" s="185">
        <v>5062</v>
      </c>
      <c r="T9" s="185">
        <v>3747</v>
      </c>
      <c r="U9" s="185">
        <v>4013</v>
      </c>
      <c r="V9" s="185">
        <v>4790</v>
      </c>
      <c r="W9" s="185">
        <v>1618</v>
      </c>
      <c r="X9" s="192">
        <v>1192</v>
      </c>
      <c r="Y9" s="195">
        <v>200</v>
      </c>
      <c r="Z9" s="185">
        <v>117</v>
      </c>
      <c r="AA9" s="185">
        <v>145</v>
      </c>
      <c r="AB9" s="185">
        <v>155</v>
      </c>
      <c r="AC9" s="185">
        <v>0</v>
      </c>
      <c r="AD9" s="185">
        <v>0</v>
      </c>
      <c r="AE9" s="185">
        <v>0</v>
      </c>
      <c r="AF9" s="192">
        <v>0</v>
      </c>
      <c r="AG9" s="195">
        <v>162</v>
      </c>
      <c r="AH9" s="185">
        <v>278</v>
      </c>
      <c r="AI9" s="185">
        <v>269</v>
      </c>
      <c r="AJ9" s="196">
        <v>171</v>
      </c>
      <c r="AK9" s="184">
        <v>0</v>
      </c>
      <c r="AL9" s="185">
        <v>0</v>
      </c>
      <c r="AM9" s="185">
        <v>0</v>
      </c>
      <c r="AN9" s="192">
        <v>0</v>
      </c>
      <c r="AO9" s="262">
        <v>9</v>
      </c>
      <c r="AP9" s="158">
        <v>9</v>
      </c>
      <c r="AQ9" s="158">
        <v>9</v>
      </c>
      <c r="AR9" s="197">
        <v>9</v>
      </c>
      <c r="AS9" s="347" t="s">
        <v>808</v>
      </c>
      <c r="AT9" s="199"/>
      <c r="AU9" s="198"/>
      <c r="AV9" s="199"/>
      <c r="AW9" s="198"/>
      <c r="AX9" s="199"/>
      <c r="AY9" s="124">
        <f>IF(ISNUMBER(IF(J_V="SI",S9,S9+AG9)),IF(J_V="SI",S9,S9+AG9)," - ")</f>
        <v>5224</v>
      </c>
      <c r="AZ9" s="124">
        <f>IF(ISNUMBER(IF(J_V="SI",T9,T9+AH9)),IF(J_V="SI",T9,T9+AH9)," - ")</f>
        <v>4025</v>
      </c>
      <c r="BA9" s="125">
        <f>IF(ISNUMBER(IF(J_V="SI",U9,U9+AI9)),IF(J_V="SI",U9,U9+AI9)," - ")</f>
        <v>4282</v>
      </c>
      <c r="BB9" s="125">
        <f>IF(ISNUMBER(IF(J_V="SI",V9,V9+AJ9)),IF(J_V="SI",V9,V9+AJ9)," - ")</f>
        <v>4961</v>
      </c>
      <c r="BC9" s="126">
        <f>IF(ISNUMBER(X9),X9," - ")</f>
        <v>1192</v>
      </c>
      <c r="BD9" s="127">
        <f>IF(ISNUMBER(BA9/AZ9),BA9/AZ9," - ")</f>
        <v>1.0638509316770186</v>
      </c>
      <c r="BE9" s="128">
        <f>IF(ISNUMBER(BB9/BA9),BB9/BA9, " - ")</f>
        <v>1.1585707613264828</v>
      </c>
      <c r="BF9" s="128">
        <f>IF(ISNUMBER(BC9/BA9),BC9/BA9, " - ")</f>
        <v>0.27837459131247083</v>
      </c>
      <c r="BG9" s="200">
        <f>IF(ISNUMBER((AY9+AZ9)/BA9),(AY9+AZ9)/BA9," - ")</f>
        <v>2.1599719757122839</v>
      </c>
      <c r="BH9" s="158">
        <v>9</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97</v>
      </c>
      <c r="J10" s="185">
        <v>60</v>
      </c>
      <c r="K10" s="185">
        <v>21</v>
      </c>
      <c r="L10" s="185">
        <v>136</v>
      </c>
      <c r="M10" s="185">
        <v>6</v>
      </c>
      <c r="N10" s="185">
        <v>8</v>
      </c>
      <c r="O10" s="185">
        <v>9</v>
      </c>
      <c r="P10" s="185">
        <v>9</v>
      </c>
      <c r="Q10" s="185">
        <v>4</v>
      </c>
      <c r="R10" s="185">
        <v>78</v>
      </c>
      <c r="S10" s="185">
        <v>78</v>
      </c>
      <c r="T10" s="185">
        <v>53</v>
      </c>
      <c r="U10" s="185">
        <v>54</v>
      </c>
      <c r="V10" s="185">
        <v>77</v>
      </c>
      <c r="W10" s="185">
        <v>24</v>
      </c>
      <c r="X10" s="192">
        <v>20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78</v>
      </c>
      <c r="AZ10" s="130">
        <f t="shared" si="0"/>
        <v>53</v>
      </c>
      <c r="BA10" s="130">
        <f t="shared" si="0"/>
        <v>54</v>
      </c>
      <c r="BB10" s="130">
        <f t="shared" si="0"/>
        <v>77</v>
      </c>
      <c r="BC10" s="126">
        <f t="shared" si="0"/>
        <v>24</v>
      </c>
      <c r="BD10" s="127">
        <f>IF(ISNUMBER(BA10/AZ10),BA10/AZ10," - ")</f>
        <v>1.0188679245283019</v>
      </c>
      <c r="BE10" s="128">
        <f>IF(ISNUMBER(BB10/BA10),BB10/BA10, " - ")</f>
        <v>1.4259259259259258</v>
      </c>
      <c r="BF10" s="128">
        <f>IF(ISNUMBER(BC10/BA10),BC10/BA10, " - ")</f>
        <v>0.44444444444444442</v>
      </c>
      <c r="BG10" s="200">
        <f>IF(ISNUMBER((AY10+AZ10)/BA10),(AY10+AZ10)/BA10," - ")</f>
        <v>2.425925925925926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518</v>
      </c>
      <c r="J11" s="187">
        <v>174</v>
      </c>
      <c r="K11" s="187">
        <v>350</v>
      </c>
      <c r="L11" s="187">
        <v>342</v>
      </c>
      <c r="M11" s="187">
        <v>161</v>
      </c>
      <c r="N11" s="187">
        <v>259</v>
      </c>
      <c r="O11" s="185">
        <v>146</v>
      </c>
      <c r="P11" s="187">
        <v>27</v>
      </c>
      <c r="Q11" s="187">
        <v>41</v>
      </c>
      <c r="R11" s="187">
        <v>337</v>
      </c>
      <c r="S11" s="187">
        <v>310</v>
      </c>
      <c r="T11" s="187">
        <v>319</v>
      </c>
      <c r="U11" s="187">
        <v>335</v>
      </c>
      <c r="V11" s="187">
        <v>294</v>
      </c>
      <c r="W11" s="187">
        <v>165</v>
      </c>
      <c r="X11" s="193">
        <v>297</v>
      </c>
      <c r="Y11" s="195">
        <v>89</v>
      </c>
      <c r="Z11" s="185">
        <v>189</v>
      </c>
      <c r="AA11" s="185">
        <v>210</v>
      </c>
      <c r="AB11" s="185">
        <v>68</v>
      </c>
      <c r="AC11" s="187">
        <v>0</v>
      </c>
      <c r="AD11" s="187">
        <v>0</v>
      </c>
      <c r="AE11" s="187">
        <v>0</v>
      </c>
      <c r="AF11" s="193">
        <v>0</v>
      </c>
      <c r="AG11" s="206">
        <v>65</v>
      </c>
      <c r="AH11" s="187">
        <v>206</v>
      </c>
      <c r="AI11" s="187">
        <v>212</v>
      </c>
      <c r="AJ11" s="207">
        <v>59</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375</v>
      </c>
      <c r="AZ11" s="128">
        <f t="shared" si="1"/>
        <v>525</v>
      </c>
      <c r="BA11" s="128">
        <f t="shared" si="1"/>
        <v>547</v>
      </c>
      <c r="BB11" s="128">
        <f t="shared" si="1"/>
        <v>353</v>
      </c>
      <c r="BC11" s="126">
        <f>IF(ISNUMBER(X11),X11," - ")</f>
        <v>297</v>
      </c>
      <c r="BD11" s="127">
        <f t="shared" ref="BD11:BD12" si="2">IF(ISNUMBER(BA11/AZ11),BA11/AZ11," - ")</f>
        <v>1.0419047619047619</v>
      </c>
      <c r="BE11" s="128">
        <f t="shared" ref="BE11:BE12" si="3">IF(ISNUMBER(BB11/BA11),BB11/BA11, " - ")</f>
        <v>0.6453382084095064</v>
      </c>
      <c r="BF11" s="128">
        <f t="shared" ref="BF11:BF12" si="4">IF(ISNUMBER(BC11/BA11),BC11/BA11, " - ")</f>
        <v>0.54296160877513711</v>
      </c>
      <c r="BG11" s="200">
        <f t="shared" ref="BG11:BG12" si="5">IF(ISNUMBER((AY11+AZ11)/BA11),(AY11+AZ11)/BA11," - ")</f>
        <v>1.6453382084095065</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6282</v>
      </c>
      <c r="J13" s="188">
        <f t="shared" si="6"/>
        <v>1780</v>
      </c>
      <c r="K13" s="188">
        <f t="shared" si="6"/>
        <v>2754</v>
      </c>
      <c r="L13" s="188">
        <f t="shared" si="6"/>
        <v>5303</v>
      </c>
      <c r="M13" s="188">
        <f t="shared" si="6"/>
        <v>1021</v>
      </c>
      <c r="N13" s="188">
        <f t="shared" si="6"/>
        <v>1091</v>
      </c>
      <c r="O13" s="188">
        <f t="shared" si="6"/>
        <v>1196</v>
      </c>
      <c r="P13" s="188">
        <f t="shared" si="6"/>
        <v>400</v>
      </c>
      <c r="Q13" s="188">
        <f t="shared" si="6"/>
        <v>843</v>
      </c>
      <c r="R13" s="188">
        <f t="shared" si="6"/>
        <v>10513</v>
      </c>
      <c r="S13" s="188">
        <f t="shared" si="6"/>
        <v>5450</v>
      </c>
      <c r="T13" s="188">
        <f t="shared" si="6"/>
        <v>4119</v>
      </c>
      <c r="U13" s="188">
        <f t="shared" si="6"/>
        <v>4402</v>
      </c>
      <c r="V13" s="188">
        <f t="shared" si="6"/>
        <v>5161</v>
      </c>
      <c r="W13" s="188">
        <f t="shared" si="6"/>
        <v>1807</v>
      </c>
      <c r="X13" s="188">
        <f t="shared" si="6"/>
        <v>1509</v>
      </c>
      <c r="Y13" s="188">
        <f t="shared" si="6"/>
        <v>289</v>
      </c>
      <c r="Z13" s="188">
        <f t="shared" si="6"/>
        <v>306</v>
      </c>
      <c r="AA13" s="188">
        <f t="shared" si="6"/>
        <v>355</v>
      </c>
      <c r="AB13" s="188">
        <f t="shared" si="6"/>
        <v>223</v>
      </c>
      <c r="AC13" s="188">
        <f t="shared" si="6"/>
        <v>0</v>
      </c>
      <c r="AD13" s="188">
        <f t="shared" si="6"/>
        <v>0</v>
      </c>
      <c r="AE13" s="188">
        <f t="shared" si="6"/>
        <v>0</v>
      </c>
      <c r="AF13" s="188">
        <f>SUBTOTAL(9,AF9:AF12)</f>
        <v>0</v>
      </c>
      <c r="AG13" s="188">
        <f t="shared" ref="AG13:AT13" si="7">SUBTOTAL(9,AG8:AG12)</f>
        <v>227</v>
      </c>
      <c r="AH13" s="188">
        <f t="shared" si="7"/>
        <v>484</v>
      </c>
      <c r="AI13" s="188">
        <f t="shared" si="7"/>
        <v>481</v>
      </c>
      <c r="AJ13" s="188">
        <f t="shared" si="7"/>
        <v>230</v>
      </c>
      <c r="AK13" s="188">
        <f t="shared" si="7"/>
        <v>0</v>
      </c>
      <c r="AL13" s="188">
        <f t="shared" si="7"/>
        <v>0</v>
      </c>
      <c r="AM13" s="188">
        <f t="shared" si="7"/>
        <v>0</v>
      </c>
      <c r="AN13" s="188">
        <f t="shared" si="7"/>
        <v>0</v>
      </c>
      <c r="AO13" s="188">
        <f t="shared" si="7"/>
        <v>12</v>
      </c>
      <c r="AP13" s="188">
        <f t="shared" si="7"/>
        <v>12</v>
      </c>
      <c r="AQ13" s="188">
        <f t="shared" si="7"/>
        <v>12</v>
      </c>
      <c r="AR13" s="188">
        <f t="shared" si="7"/>
        <v>12</v>
      </c>
      <c r="AS13" s="188">
        <f t="shared" si="7"/>
        <v>0</v>
      </c>
      <c r="AT13" s="188">
        <f t="shared" si="7"/>
        <v>0</v>
      </c>
      <c r="AU13" s="208"/>
      <c r="AV13" s="133"/>
      <c r="AW13" s="208"/>
      <c r="AX13" s="133"/>
      <c r="AY13" s="188">
        <f>SUBTOTAL(9,AY8:AY12)</f>
        <v>5677</v>
      </c>
      <c r="AZ13" s="188">
        <f>SUBTOTAL(9,AZ8:AZ12)</f>
        <v>4603</v>
      </c>
      <c r="BA13" s="188">
        <f>SUBTOTAL(9,BA8:BA12)</f>
        <v>4883</v>
      </c>
      <c r="BB13" s="188">
        <f>SUBTOTAL(9,BB8:BB12)</f>
        <v>5391</v>
      </c>
      <c r="BC13" s="188">
        <f>SUBTOTAL(9,BC8:BC12)</f>
        <v>1513</v>
      </c>
      <c r="BD13" s="209">
        <f>IF(ISNUMBER(BA13/AZ13),BA13/AZ13," - ")</f>
        <v>1.0608298935476863</v>
      </c>
      <c r="BE13" s="210">
        <f>IF(ISNUMBER(BB13/BA13),BB13/BA13, " - ")</f>
        <v>1.1040344050788449</v>
      </c>
      <c r="BF13" s="210">
        <f>IF(ISNUMBER(BC13/BA13),BC13/BA13, " - ")</f>
        <v>0.30985050174073314</v>
      </c>
      <c r="BG13" s="211">
        <f>IF(ISNUMBER((AY13+AZ13)/BA13),(AY13+AZ13)/BA13," - ")</f>
        <v>2.1052631578947367</v>
      </c>
      <c r="BH13" s="144">
        <f>SUBTOTAL(9,BH8:BH12)</f>
        <v>12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2102</v>
      </c>
      <c r="J15" s="187">
        <v>2845</v>
      </c>
      <c r="K15" s="187">
        <v>2389</v>
      </c>
      <c r="L15" s="187">
        <v>2590</v>
      </c>
      <c r="M15" s="187">
        <v>351</v>
      </c>
      <c r="N15" s="187">
        <v>1647</v>
      </c>
      <c r="O15" s="185">
        <v>102</v>
      </c>
      <c r="P15" s="187">
        <v>88</v>
      </c>
      <c r="Q15" s="187">
        <v>106</v>
      </c>
      <c r="R15" s="187">
        <v>478</v>
      </c>
      <c r="S15" s="187">
        <v>1730</v>
      </c>
      <c r="T15" s="187">
        <v>2797</v>
      </c>
      <c r="U15" s="187">
        <v>2856</v>
      </c>
      <c r="V15" s="187">
        <v>1685</v>
      </c>
      <c r="W15" s="187">
        <v>377</v>
      </c>
      <c r="X15" s="193">
        <v>1957</v>
      </c>
      <c r="Y15" s="206">
        <v>0</v>
      </c>
      <c r="Z15" s="187">
        <v>0</v>
      </c>
      <c r="AA15" s="187">
        <v>0</v>
      </c>
      <c r="AB15" s="187">
        <v>0</v>
      </c>
      <c r="AC15" s="187">
        <v>0</v>
      </c>
      <c r="AD15" s="187">
        <v>8</v>
      </c>
      <c r="AE15" s="187">
        <v>8</v>
      </c>
      <c r="AF15" s="193">
        <v>0</v>
      </c>
      <c r="AG15" s="206">
        <v>0</v>
      </c>
      <c r="AH15" s="187">
        <v>0</v>
      </c>
      <c r="AI15" s="187">
        <v>0</v>
      </c>
      <c r="AJ15" s="207">
        <v>0</v>
      </c>
      <c r="AK15" s="186">
        <v>0</v>
      </c>
      <c r="AL15" s="187">
        <v>11</v>
      </c>
      <c r="AM15" s="187">
        <v>11</v>
      </c>
      <c r="AN15" s="193">
        <v>0</v>
      </c>
      <c r="AO15" s="263">
        <v>4</v>
      </c>
      <c r="AP15" s="159">
        <v>4</v>
      </c>
      <c r="AQ15" s="159">
        <v>4</v>
      </c>
      <c r="AR15" s="159">
        <v>4</v>
      </c>
      <c r="AS15" s="349" t="s">
        <v>531</v>
      </c>
      <c r="AT15" s="207" t="s">
        <v>329</v>
      </c>
      <c r="AU15" s="206"/>
      <c r="AV15" s="207"/>
      <c r="AW15" s="206"/>
      <c r="AX15" s="207"/>
      <c r="AY15" s="129">
        <f t="shared" ref="AY15:BB16" si="9">IF(ISNUMBER(IF(D_I="SI",S15,S15+AK15)),IF(D_I="SI",S15,S15+AK15)," - ")</f>
        <v>1730</v>
      </c>
      <c r="AZ15" s="130">
        <f t="shared" si="9"/>
        <v>2797</v>
      </c>
      <c r="BA15" s="130">
        <f t="shared" si="9"/>
        <v>2856</v>
      </c>
      <c r="BB15" s="130">
        <f t="shared" si="9"/>
        <v>1685</v>
      </c>
      <c r="BC15" s="126">
        <f>IF(ISNUMBER(W15),W15," - ")</f>
        <v>377</v>
      </c>
      <c r="BD15" s="127">
        <f>IF(ISNUMBER(BA15/AZ15),BA15/AZ15," - ")</f>
        <v>1.0210940293171256</v>
      </c>
      <c r="BE15" s="128">
        <f>IF(ISNUMBER(BB15/BA15),BB15/BA15, " - ")</f>
        <v>0.58998599439775912</v>
      </c>
      <c r="BF15" s="128">
        <f>IF(ISNUMBER(BC15/BA15),BC15/BA15, " - ")</f>
        <v>0.13200280112044818</v>
      </c>
      <c r="BG15" s="200">
        <f t="shared" ref="BG15:BG16" si="10">IF(ISNUMBER((AY15+AZ15)/BA15),(AY15+AZ15)/BA15," - ")</f>
        <v>1.5850840336134453</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195</v>
      </c>
      <c r="J17" s="187">
        <v>274</v>
      </c>
      <c r="K17" s="187">
        <v>165</v>
      </c>
      <c r="L17" s="187">
        <v>304</v>
      </c>
      <c r="M17" s="187">
        <v>24</v>
      </c>
      <c r="N17" s="187">
        <v>107</v>
      </c>
      <c r="O17" s="187">
        <v>3</v>
      </c>
      <c r="P17" s="187">
        <v>5</v>
      </c>
      <c r="Q17" s="187">
        <v>3</v>
      </c>
      <c r="R17" s="187">
        <v>15</v>
      </c>
      <c r="S17" s="187">
        <v>137</v>
      </c>
      <c r="T17" s="187">
        <v>322</v>
      </c>
      <c r="U17" s="187">
        <v>323</v>
      </c>
      <c r="V17" s="187">
        <v>136</v>
      </c>
      <c r="W17" s="187">
        <v>54</v>
      </c>
      <c r="X17" s="193">
        <v>154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137</v>
      </c>
      <c r="AZ17" s="130">
        <f t="shared" si="14"/>
        <v>322</v>
      </c>
      <c r="BA17" s="130">
        <f t="shared" si="14"/>
        <v>323</v>
      </c>
      <c r="BB17" s="130">
        <f t="shared" si="14"/>
        <v>136</v>
      </c>
      <c r="BC17" s="126">
        <f>IF(ISNUMBER(W17),W17," - ")</f>
        <v>54</v>
      </c>
      <c r="BD17" s="127">
        <f>IF(ISNUMBER(BA17/AZ17),BA17/AZ17," - ")</f>
        <v>1.0031055900621118</v>
      </c>
      <c r="BE17" s="128">
        <f>IF(ISNUMBER(BB17/BA17),BB17/BA17, " - ")</f>
        <v>0.42105263157894735</v>
      </c>
      <c r="BF17" s="128">
        <f>IF(ISNUMBER(BC17/BA17),BC17/BA17, " - ")</f>
        <v>0.16718266253869968</v>
      </c>
      <c r="BG17" s="200">
        <f>IF(ISNUMBER((AY17+AZ17)/BA17),(AY17+AZ17)/BA17," - ")</f>
        <v>1.4210526315789473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2297</v>
      </c>
      <c r="J18" s="188">
        <f t="shared" si="15"/>
        <v>3119</v>
      </c>
      <c r="K18" s="188">
        <f t="shared" si="15"/>
        <v>2554</v>
      </c>
      <c r="L18" s="188">
        <f t="shared" si="15"/>
        <v>2894</v>
      </c>
      <c r="M18" s="188">
        <f t="shared" si="15"/>
        <v>375</v>
      </c>
      <c r="N18" s="188">
        <f t="shared" si="15"/>
        <v>1754</v>
      </c>
      <c r="O18" s="188">
        <f t="shared" si="15"/>
        <v>105</v>
      </c>
      <c r="P18" s="188">
        <f t="shared" si="15"/>
        <v>93</v>
      </c>
      <c r="Q18" s="188">
        <f t="shared" si="15"/>
        <v>109</v>
      </c>
      <c r="R18" s="188">
        <f t="shared" si="15"/>
        <v>493</v>
      </c>
      <c r="S18" s="188">
        <f t="shared" si="15"/>
        <v>1867</v>
      </c>
      <c r="T18" s="188">
        <f t="shared" si="15"/>
        <v>3119</v>
      </c>
      <c r="U18" s="188">
        <f t="shared" si="15"/>
        <v>3179</v>
      </c>
      <c r="V18" s="188">
        <f t="shared" si="15"/>
        <v>1821</v>
      </c>
      <c r="W18" s="188">
        <f t="shared" si="15"/>
        <v>431</v>
      </c>
      <c r="X18" s="188">
        <f t="shared" si="15"/>
        <v>2111</v>
      </c>
      <c r="Y18" s="188">
        <f t="shared" si="15"/>
        <v>0</v>
      </c>
      <c r="Z18" s="188">
        <f t="shared" si="15"/>
        <v>0</v>
      </c>
      <c r="AA18" s="188">
        <f t="shared" si="15"/>
        <v>0</v>
      </c>
      <c r="AB18" s="188">
        <f t="shared" si="15"/>
        <v>0</v>
      </c>
      <c r="AC18" s="188">
        <f t="shared" si="15"/>
        <v>0</v>
      </c>
      <c r="AD18" s="188">
        <f t="shared" si="15"/>
        <v>8</v>
      </c>
      <c r="AE18" s="188">
        <f t="shared" si="15"/>
        <v>8</v>
      </c>
      <c r="AF18" s="188">
        <f t="shared" si="15"/>
        <v>0</v>
      </c>
      <c r="AG18" s="188">
        <f t="shared" si="15"/>
        <v>0</v>
      </c>
      <c r="AH18" s="188">
        <f t="shared" si="15"/>
        <v>0</v>
      </c>
      <c r="AI18" s="188">
        <f t="shared" si="15"/>
        <v>0</v>
      </c>
      <c r="AJ18" s="188">
        <f t="shared" si="15"/>
        <v>0</v>
      </c>
      <c r="AK18" s="188">
        <f t="shared" si="15"/>
        <v>0</v>
      </c>
      <c r="AL18" s="188">
        <f t="shared" si="15"/>
        <v>11</v>
      </c>
      <c r="AM18" s="188">
        <f t="shared" si="15"/>
        <v>11</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1867</v>
      </c>
      <c r="AZ18" s="188">
        <f>SUBTOTAL(9,AZ14:AZ17)</f>
        <v>3119</v>
      </c>
      <c r="BA18" s="188">
        <f>SUBTOTAL(9,BA14:BA17)</f>
        <v>3179</v>
      </c>
      <c r="BB18" s="188">
        <f>SUBTOTAL(9,BB14:BB17)</f>
        <v>1821</v>
      </c>
      <c r="BC18" s="188">
        <f>SUBTOTAL(9,BC14:BC17)</f>
        <v>431</v>
      </c>
      <c r="BD18" s="209">
        <f>IF(ISNUMBER(BA18/AZ18),BA18/AZ18," - ")</f>
        <v>1.019236934915037</v>
      </c>
      <c r="BE18" s="210">
        <f>IF(ISNUMBER(BB18/BA18),BB18/BA18, " - ")</f>
        <v>0.57282164202579422</v>
      </c>
      <c r="BF18" s="210">
        <f>IF(ISNUMBER(BC18/BA18),BC18/BA18, " - ")</f>
        <v>0.13557722554262347</v>
      </c>
      <c r="BG18" s="211">
        <f>IF(ISNUMBER((AY18+AZ18)/BA18),(AY18+AZ18)/BA18," - ")</f>
        <v>1.568417741428122</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8579</v>
      </c>
      <c r="J19" s="135">
        <f t="shared" si="18"/>
        <v>4899</v>
      </c>
      <c r="K19" s="135">
        <f t="shared" si="18"/>
        <v>5308</v>
      </c>
      <c r="L19" s="135">
        <f t="shared" si="18"/>
        <v>8197</v>
      </c>
      <c r="M19" s="135">
        <f t="shared" si="18"/>
        <v>1396</v>
      </c>
      <c r="N19" s="135">
        <f t="shared" si="18"/>
        <v>2845</v>
      </c>
      <c r="O19" s="135">
        <f t="shared" si="18"/>
        <v>1301</v>
      </c>
      <c r="P19" s="135">
        <f t="shared" si="18"/>
        <v>493</v>
      </c>
      <c r="Q19" s="135">
        <f t="shared" si="18"/>
        <v>952</v>
      </c>
      <c r="R19" s="135">
        <f t="shared" si="18"/>
        <v>11006</v>
      </c>
      <c r="S19" s="135">
        <f t="shared" si="18"/>
        <v>7317</v>
      </c>
      <c r="T19" s="135">
        <f t="shared" si="18"/>
        <v>7238</v>
      </c>
      <c r="U19" s="135">
        <f t="shared" si="18"/>
        <v>7581</v>
      </c>
      <c r="V19" s="135">
        <f t="shared" si="18"/>
        <v>6982</v>
      </c>
      <c r="W19" s="135">
        <f t="shared" si="18"/>
        <v>2238</v>
      </c>
      <c r="X19" s="135">
        <f t="shared" si="18"/>
        <v>3620</v>
      </c>
      <c r="Y19" s="135">
        <f t="shared" si="18"/>
        <v>289</v>
      </c>
      <c r="Z19" s="135">
        <f t="shared" si="18"/>
        <v>306</v>
      </c>
      <c r="AA19" s="135">
        <f t="shared" si="18"/>
        <v>355</v>
      </c>
      <c r="AB19" s="135">
        <f t="shared" si="18"/>
        <v>223</v>
      </c>
      <c r="AC19" s="135">
        <f t="shared" si="18"/>
        <v>0</v>
      </c>
      <c r="AD19" s="135">
        <f t="shared" si="18"/>
        <v>8</v>
      </c>
      <c r="AE19" s="135">
        <f t="shared" si="18"/>
        <v>8</v>
      </c>
      <c r="AF19" s="135">
        <f t="shared" si="18"/>
        <v>0</v>
      </c>
      <c r="AG19" s="135">
        <f t="shared" si="18"/>
        <v>227</v>
      </c>
      <c r="AH19" s="135">
        <f t="shared" si="18"/>
        <v>484</v>
      </c>
      <c r="AI19" s="135">
        <f t="shared" si="18"/>
        <v>481</v>
      </c>
      <c r="AJ19" s="135">
        <f t="shared" si="18"/>
        <v>230</v>
      </c>
      <c r="AK19" s="135">
        <f t="shared" si="18"/>
        <v>0</v>
      </c>
      <c r="AL19" s="135">
        <f t="shared" si="18"/>
        <v>11</v>
      </c>
      <c r="AM19" s="135">
        <f t="shared" si="18"/>
        <v>11</v>
      </c>
      <c r="AN19" s="214">
        <f t="shared" si="18"/>
        <v>0</v>
      </c>
      <c r="AO19" s="215">
        <v>16</v>
      </c>
      <c r="AP19" s="215">
        <v>16</v>
      </c>
      <c r="AQ19" s="215">
        <v>16</v>
      </c>
      <c r="AR19" s="215">
        <v>16</v>
      </c>
      <c r="AS19" s="157">
        <f t="shared" si="18"/>
        <v>0</v>
      </c>
      <c r="AT19" s="157">
        <f t="shared" si="18"/>
        <v>0</v>
      </c>
      <c r="AU19" s="215"/>
      <c r="AV19" s="216"/>
      <c r="AW19" s="215"/>
      <c r="AX19" s="216"/>
      <c r="AY19" s="134">
        <f>SUBTOTAL(9,AY9:AY18)</f>
        <v>7544</v>
      </c>
      <c r="AZ19" s="135">
        <f>SUBTOTAL(9,AZ9:AZ18)</f>
        <v>7722</v>
      </c>
      <c r="BA19" s="135">
        <f>SUBTOTAL(9,BA9:BA18)</f>
        <v>8062</v>
      </c>
      <c r="BB19" s="135">
        <f>SUBTOTAL(9,BB9:BB18)</f>
        <v>7212</v>
      </c>
      <c r="BC19" s="136">
        <f>SUBTOTAL(9,BC9:BC18)</f>
        <v>1944</v>
      </c>
      <c r="BD19" s="217">
        <f>IF(ISNUMBER(BA19/AZ19),BA19/AZ19," - ")</f>
        <v>1.0440300440300441</v>
      </c>
      <c r="BE19" s="214">
        <f>IF(ISNUMBER(BB19/BA19),BB19/BA19, " - ")</f>
        <v>0.8945671049367403</v>
      </c>
      <c r="BF19" s="214">
        <f>IF(ISNUMBER(BC19/BA19),BC19/BA19, " - ")</f>
        <v>0.24113123294467875</v>
      </c>
      <c r="BG19" s="136">
        <f>IF(ISNUMBER((AY19+AZ19)/BA19),(AY19+AZ19)/BA19," - ")</f>
        <v>1.8935747953361448</v>
      </c>
      <c r="BH19" s="215">
        <f>SUBTOTAL(9,BH9:BH18)</f>
        <v>17</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AYd93+E0rdQJj66xJqB3nfKTI+HPvMmuXSrCOqPKTIb0hHbIHrdkvJiiuHB1cDhoIKYrM09PaIM4Y7+l196mQ==" saltValue="4YdbZrot4CFJRDAPdox94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AwhyMxnlnujuFWDI0RqjxS5t5WjvuY/d+tinawM99KqRb+aSo5MkVk1PtlwItYeNa9rlvGRP7i+T8gjdV3Bdg==" saltValue="5CafFP3rWKRBJIkOMEqf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OVIEDO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9</v>
      </c>
      <c r="B9" s="652" t="s">
        <v>249</v>
      </c>
      <c r="C9" s="670" t="str">
        <f>Datos!A9</f>
        <v xml:space="preserve">Jdos. 1ª Instancia   </v>
      </c>
      <c r="D9" s="543"/>
      <c r="E9" s="669">
        <f>IF(ISNUMBER(Datos!AQ9),Datos!AQ9," - ")</f>
        <v>9</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117</v>
      </c>
      <c r="O9" s="503"/>
      <c r="P9" s="503"/>
      <c r="Q9" s="501">
        <f>IF(ISNUMBER(Datos!P9),Datos!P9,0)</f>
        <v>364</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798</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155</v>
      </c>
      <c r="AI9" s="503" t="str">
        <f>IF(ISNUMBER(Datos!CD9),Datos!CD9,"-")</f>
        <v>-</v>
      </c>
      <c r="AJ9" s="503" t="str">
        <f>IF(ISNUMBER(Datos!EN9),Datos!EN9," - ")</f>
        <v xml:space="preserve"> - </v>
      </c>
      <c r="AK9" s="503"/>
      <c r="AL9" s="504"/>
      <c r="AM9" s="671">
        <f>IF(ISNUMBER(Datos!R9),Datos!R9," - ")</f>
        <v>10098</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854</v>
      </c>
      <c r="BD9" s="619">
        <f>IF(ISNUMBER(Datos!N9),Datos!N9," - ")</f>
        <v>824</v>
      </c>
      <c r="BE9" s="619" t="str">
        <f>IF(ISNUMBER(Datos!BW9),Datos!BW9," - ")</f>
        <v xml:space="preserve"> - </v>
      </c>
      <c r="BF9" s="667" t="str">
        <f>IF(ISNUMBER(Datos!BX9),Datos!BX9," - ")</f>
        <v xml:space="preserve"> - </v>
      </c>
      <c r="BG9" s="668">
        <f>IF(ISNUMBER(IF(J_V="SI",Datos!K9/Datos!J9,(Datos!K9+Datos!AA9)/(Datos!J9+Datos!Z9))),IF(J_V="SI",Datos!K9/Datos!J9,(Datos!K9+Datos!AA9)/(Datos!J9+Datos!Z9))," - ")</f>
        <v>1.5201443174984968</v>
      </c>
      <c r="BH9" s="669">
        <f>IF(ISNUMBER(((IF(J_V="SI",Datos!L9/Datos!K9,(Datos!L9+Datos!AB9)/(Datos!K9+Datos!AA9)))*11)/factor_trimestre),((IF(J_V="SI",Datos!L9/Datos!K9,(Datos!L9+Datos!AB9)/(Datos!K9+Datos!AA9)))*11)/factor_trimestre," - ")</f>
        <v>5.9098101265822791</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-4.1207747816179266E-2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97</v>
      </c>
      <c r="G10" s="497">
        <f>IF(ISNUMBER(Datos!I10),Datos!I10," - ")</f>
        <v>97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9</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21</v>
      </c>
      <c r="AC10" s="501">
        <f>IF(ISNUMBER(Datos!Q10),Datos!Q10," - ")</f>
        <v>4</v>
      </c>
      <c r="AD10" s="503"/>
      <c r="AE10" s="516"/>
      <c r="AF10" s="505">
        <f>IF(ISNUMBER(Datos!L10),Datos!L10,"-")</f>
        <v>136</v>
      </c>
      <c r="AG10" s="503"/>
      <c r="AH10" s="503"/>
      <c r="AI10" s="503"/>
      <c r="AJ10" s="503"/>
      <c r="AK10" s="503"/>
      <c r="AL10" s="504"/>
      <c r="AM10" s="671">
        <f>IF(ISNUMBER(Datos!R10),Datos!R10," - ")</f>
        <v>78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8</v>
      </c>
      <c r="BE10" s="619" t="str">
        <f>IF(ISNUMBER(Datos!BW10),Datos!BW10," - ")</f>
        <v xml:space="preserve"> - </v>
      </c>
      <c r="BF10" s="667" t="str">
        <f>IF(ISNUMBER(Datos!BX10),Datos!BX10," - ")</f>
        <v xml:space="preserve"> - </v>
      </c>
      <c r="BG10" s="668">
        <f>IF(ISNUMBER(Datos!K10/Datos!J10),Datos!K10/Datos!J10," - ")</f>
        <v>0.35</v>
      </c>
      <c r="BH10" s="669">
        <f>IF(ISNUMBER(((Datos!L10/Datos!K10)*11)/factor_trimestre),((Datos!L10/Datos!K10)*11)/factor_trimestre," - ")</f>
        <v>19.428571428571431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6.8493150684931503E-2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189</v>
      </c>
      <c r="O11" s="503"/>
      <c r="P11" s="503"/>
      <c r="Q11" s="501">
        <f>IF(ISNUMBER(Datos!P11),Datos!P11,0)</f>
        <v>27</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41</v>
      </c>
      <c r="AD11" s="503"/>
      <c r="AE11" s="516"/>
      <c r="AF11" s="505" t="str">
        <f>IF(ISNUMBER(IF(J_V="SI",Datos!L11,Datos!L11+Datos!AB11)-IF(Monitorios="SI",Datos!CD11,0)),
                          IF(J_V="SI",Datos!L11,Datos!L11+Datos!AB11)-IF(Monitorios="SI",Datos!CD11,0),
                          " - ")</f>
        <v xml:space="preserve"> - </v>
      </c>
      <c r="AG11" s="503"/>
      <c r="AH11" s="503">
        <f>IF(ISNUMBER(Datos!AB11),Datos!AB11,"-")</f>
        <v>68</v>
      </c>
      <c r="AI11" s="503"/>
      <c r="AJ11" s="503"/>
      <c r="AK11" s="503"/>
      <c r="AL11" s="504"/>
      <c r="AM11" s="671">
        <f>IF(ISNUMBER(Datos!R11),Datos!R11," - ")</f>
        <v>337</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161</v>
      </c>
      <c r="BD11" s="619">
        <f>IF(ISNUMBER(Datos!N11),Datos!N11," - ")</f>
        <v>259</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1.5426997245179064</v>
      </c>
      <c r="BH11" s="669">
        <f>IF(ISNUMBER(((IF(J_V="SI",Datos!L11/Datos!K11,(Datos!L11+Datos!AB11)/(Datos!K11+Datos!AA11)))*11)/factor_trimestre),((IF(J_V="SI",Datos!L11/Datos!K11,(Datos!L11+Datos!AB11)/(Datos!K11+Datos!AA11)))*11)/factor_trimestre," - ")</f>
        <v>2.1964285714285716</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-3.9886039886039885E-2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12</v>
      </c>
      <c r="F13" s="1044">
        <f t="shared" si="0"/>
        <v>97</v>
      </c>
      <c r="G13" s="1044">
        <f t="shared" si="0"/>
        <v>97</v>
      </c>
      <c r="H13" s="1045">
        <f t="shared" si="0"/>
        <v>0</v>
      </c>
      <c r="I13" s="1044">
        <f t="shared" si="0"/>
        <v>0</v>
      </c>
      <c r="J13" s="1013">
        <f t="shared" si="0"/>
        <v>0</v>
      </c>
      <c r="K13" s="1013">
        <f t="shared" si="0"/>
        <v>0</v>
      </c>
      <c r="L13" s="1045">
        <f t="shared" si="0"/>
        <v>0</v>
      </c>
      <c r="M13" s="1045">
        <f t="shared" si="0"/>
        <v>0</v>
      </c>
      <c r="N13" s="1045">
        <f t="shared" si="0"/>
        <v>306</v>
      </c>
      <c r="O13" s="1046">
        <f t="shared" si="0"/>
        <v>0</v>
      </c>
      <c r="P13" s="1046">
        <f t="shared" si="0"/>
        <v>0</v>
      </c>
      <c r="Q13" s="1045">
        <f t="shared" si="0"/>
        <v>400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21</v>
      </c>
      <c r="AC13" s="1045">
        <f t="shared" si="1"/>
        <v>843</v>
      </c>
      <c r="AD13" s="1045">
        <f t="shared" si="1"/>
        <v>0</v>
      </c>
      <c r="AE13" s="1045">
        <f t="shared" si="1"/>
        <v>0</v>
      </c>
      <c r="AF13" s="1045">
        <f t="shared" si="1"/>
        <v>136</v>
      </c>
      <c r="AG13" s="1045">
        <f t="shared" si="1"/>
        <v>0</v>
      </c>
      <c r="AH13" s="1045">
        <f t="shared" si="1"/>
        <v>223</v>
      </c>
      <c r="AI13" s="1045">
        <f t="shared" si="1"/>
        <v>0</v>
      </c>
      <c r="AJ13" s="1045">
        <f t="shared" si="1"/>
        <v>0</v>
      </c>
      <c r="AK13" s="1045">
        <f t="shared" si="1"/>
        <v>0</v>
      </c>
      <c r="AL13" s="1045">
        <f t="shared" si="1"/>
        <v>0</v>
      </c>
      <c r="AM13" s="1045">
        <f t="shared" si="1"/>
        <v>10513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1021</v>
      </c>
      <c r="BD13" s="1045">
        <f t="shared" si="1"/>
        <v>1091</v>
      </c>
      <c r="BE13" s="1045">
        <f t="shared" si="1"/>
        <v>0</v>
      </c>
      <c r="BF13" s="1045">
        <f t="shared" si="1"/>
        <v>0</v>
      </c>
      <c r="BG13" s="1045">
        <f>IF(ISNUMBER(Datos!K13/Datos!J13),Datos!K13/Datos!J13," - ")</f>
        <v>1.547191011235955</v>
      </c>
      <c r="BH13" s="1049">
        <f>IF(ISNUMBER(((Datos!L13/Datos!K13)*11)/factor_trimestre),((Datos!L13/Datos!K13)*11)/factor_trimestre," - ")</f>
        <v>5.776688453159041</v>
      </c>
      <c r="BI13" s="1045">
        <f>IF(ISNUMBER('Resol  Asuntos'!D13/NºAsuntos!G13),'Resol  Asuntos'!D13/NºAsuntos!G13," - ")</f>
        <v>0.32840141524605981</v>
      </c>
      <c r="BJ13" s="1045" t="str">
        <f>IF(ISNUMBER(Datos!CI13/Datos!CJ13),Datos!CI13/Datos!CJ13," - ")</f>
        <v xml:space="preserve"> - </v>
      </c>
      <c r="BK13" s="1045">
        <f>SUBTOTAL(9,BK8:BK12)</f>
        <v>0</v>
      </c>
      <c r="BL13" s="1045">
        <f>IF(ISNUMBER((I13-AB13+L13)/(F13)),(I13-AB13+L13)/(F13)," - ")</f>
        <v>-0.21649484536082475</v>
      </c>
      <c r="BM13" s="1050">
        <f>SUBTOTAL(9,BM9:BM12)</f>
        <v>-1.2600637017287648E-2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2134</v>
      </c>
      <c r="G15" s="650">
        <f>IF(ISNUMBER(IF(D_I="SI",Datos!I15,Datos!I15+Datos!AC15)),IF(D_I="SI",Datos!I15,Datos!I15+Datos!AC15)," - ")</f>
        <v>2102</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88</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2389</v>
      </c>
      <c r="AC15" s="230">
        <f>IF(ISNUMBER(Datos!Q15),Datos!Q15," - ")</f>
        <v>106</v>
      </c>
      <c r="AD15" s="343"/>
      <c r="AE15" s="515"/>
      <c r="AF15" s="648">
        <f>IF(ISNUMBER(IF(D_I="SI",Datos!L15,Datos!L15+Datos!AF15)),IF(D_I="SI",Datos!L15,Datos!L15+Datos!AF15)," - ")</f>
        <v>2590</v>
      </c>
      <c r="AG15" s="343"/>
      <c r="AH15" s="343"/>
      <c r="AI15" s="343"/>
      <c r="AJ15" s="503"/>
      <c r="AK15" s="343"/>
      <c r="AL15" s="499"/>
      <c r="AM15" s="344">
        <f>IF(ISNUMBER(Datos!R15),Datos!R15," - ")</f>
        <v>478</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351</v>
      </c>
      <c r="BD15" s="233">
        <f>IF(ISNUMBER(Datos!N15),Datos!N15," - ")</f>
        <v>1647</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0.83971880492091389</v>
      </c>
      <c r="BH15" s="669">
        <f>IF(ISNUMBER(((IF(D_I="SI",Datos!L15/Datos!K15,(Datos!L15+Datos!AF15)/(Datos!K15+Datos!AE15)))*11)/factor_trimestre),((IF(D_I="SI",Datos!L15/Datos!K15,(Datos!L15+Datos!AF15)/(Datos!K15+Datos!AE15)))*11)/factor_trimestre," - ")</f>
        <v>3.2524068647969866</v>
      </c>
      <c r="BI15" s="247">
        <f>IF(ISNUMBER('Resol  Asuntos'!D15/NºAsuntos!G15),'Resol  Asuntos'!D15/NºAsuntos!G15," - ")</f>
        <v>0.14692339891167852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195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5</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165</v>
      </c>
      <c r="AC17" s="501">
        <f>IF(ISNUMBER(Datos!Q17),Datos!Q17," - ")</f>
        <v>3</v>
      </c>
      <c r="AD17" s="503"/>
      <c r="AE17" s="515"/>
      <c r="AF17" s="505">
        <f>IF(ISNUMBER(Datos!L17),Datos!L17,"-")</f>
        <v>304</v>
      </c>
      <c r="AG17" s="503"/>
      <c r="AH17" s="503"/>
      <c r="AI17" s="503"/>
      <c r="AJ17" s="503"/>
      <c r="AK17" s="503"/>
      <c r="AL17" s="504"/>
      <c r="AM17" s="671">
        <f>IF(ISNUMBER(Datos!R17),Datos!R17," - ")</f>
        <v>15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24</v>
      </c>
      <c r="BD17" s="619">
        <f>IF(ISNUMBER(Datos!N17),Datos!N17," - ")</f>
        <v>107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0.6021897810218978</v>
      </c>
      <c r="BH17" s="669">
        <f>IF(ISNUMBER(((IF(D_I="SI",Datos!L17/Datos!K17,(Datos!L17+Datos!AF17)/(Datos!K17+Datos!AE17)))*11)/factor_trimestre),((IF(D_I="SI",Datos!L17/Datos!K17,(Datos!L17+Datos!AF17)/(Datos!K17+Datos!AE17)))*11)/factor_trimestre," - ")</f>
        <v>5.5272727272727282</v>
      </c>
      <c r="BI17" s="668">
        <f>IF(ISNUMBER('Resol  Asuntos'!D17/NºAsuntos!G17),'Resol  Asuntos'!D17/NºAsuntos!G17," - ")</f>
        <v>0.14545454545454545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2134</v>
      </c>
      <c r="G18" s="1044">
        <f>SUBTOTAL(9,G15:G17)</f>
        <v>2297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2554</v>
      </c>
      <c r="AC18" s="1045">
        <f t="shared" si="4"/>
        <v>109</v>
      </c>
      <c r="AD18" s="1045">
        <f t="shared" si="4"/>
        <v>0</v>
      </c>
      <c r="AE18" s="1045">
        <f t="shared" si="4"/>
        <v>0</v>
      </c>
      <c r="AF18" s="1045">
        <f t="shared" si="4"/>
        <v>2894</v>
      </c>
      <c r="AG18" s="1045">
        <f t="shared" si="4"/>
        <v>0</v>
      </c>
      <c r="AH18" s="1045">
        <f t="shared" si="4"/>
        <v>0</v>
      </c>
      <c r="AI18" s="1045">
        <f t="shared" si="4"/>
        <v>0</v>
      </c>
      <c r="AJ18" s="1045">
        <f t="shared" si="4"/>
        <v>0</v>
      </c>
      <c r="AK18" s="1045">
        <f t="shared" si="4"/>
        <v>0</v>
      </c>
      <c r="AL18" s="1045">
        <f t="shared" si="4"/>
        <v>0</v>
      </c>
      <c r="AM18" s="1045">
        <f t="shared" si="4"/>
        <v>493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375</v>
      </c>
      <c r="BD18" s="1045">
        <f t="shared" si="4"/>
        <v>1754</v>
      </c>
      <c r="BE18" s="1045">
        <f t="shared" si="4"/>
        <v>0</v>
      </c>
      <c r="BF18" s="1045">
        <f t="shared" si="4"/>
        <v>0</v>
      </c>
      <c r="BG18" s="1045">
        <f>IF(ISNUMBER(Datos!K18/Datos!J18),Datos!K18/Datos!J18," - ")</f>
        <v>0.81885219621673611</v>
      </c>
      <c r="BH18" s="1049">
        <f>IF(ISNUMBER(((Datos!L18/Datos!K18)*11)/factor_trimestre),((Datos!L18/Datos!K18)*11)/factor_trimestre," - ")</f>
        <v>3.3993735317149572</v>
      </c>
      <c r="BI18" s="1045">
        <f>SUBTOTAL(9,BI15:BI17)</f>
        <v>0.292377944366224</v>
      </c>
      <c r="BJ18" s="1045">
        <f>SUBTOTAL(9,BJ15:BJ17)</f>
        <v>0</v>
      </c>
      <c r="BK18" s="1045">
        <f>SUBTOTAL(9,BK15:BK17)</f>
        <v>0</v>
      </c>
      <c r="BL18" s="1045">
        <f>IF(ISNUMBER((I18-AB18+L18)/(F18)),(I18-AB18+L18)/(F18)," - ")</f>
        <v>-1.196813495782568</v>
      </c>
      <c r="BM18" s="1051">
        <f>IF(ISNUMBER((Datos!P18-Datos!Q18)/(Datos!R18-Datos!P18+Datos!Q18)),(Datos!P18-Datos!Q18)/(Datos!R18-Datos!P18+Datos!Q18)," - ")</f>
        <v>-3.1434184675834968E-2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17</v>
      </c>
      <c r="F19" s="966">
        <f t="shared" si="6"/>
        <v>2231</v>
      </c>
      <c r="G19" s="966">
        <f t="shared" si="6"/>
        <v>2394</v>
      </c>
      <c r="H19" s="968">
        <f t="shared" si="6"/>
        <v>0</v>
      </c>
      <c r="I19" s="966">
        <f t="shared" si="6"/>
        <v>0</v>
      </c>
      <c r="J19" s="968">
        <f t="shared" si="6"/>
        <v>0</v>
      </c>
      <c r="K19" s="968">
        <f t="shared" si="6"/>
        <v>0</v>
      </c>
      <c r="L19" s="1027">
        <f t="shared" si="6"/>
        <v>0</v>
      </c>
      <c r="M19" s="1027">
        <f t="shared" si="6"/>
        <v>0</v>
      </c>
      <c r="N19" s="1027">
        <f t="shared" si="6"/>
        <v>306</v>
      </c>
      <c r="O19" s="1027">
        <f t="shared" si="6"/>
        <v>0</v>
      </c>
      <c r="P19" s="1027">
        <f t="shared" si="6"/>
        <v>0</v>
      </c>
      <c r="Q19" s="968">
        <f t="shared" si="6"/>
        <v>493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2575</v>
      </c>
      <c r="AC19" s="967">
        <f t="shared" si="7"/>
        <v>952</v>
      </c>
      <c r="AD19" s="967">
        <f t="shared" si="7"/>
        <v>0</v>
      </c>
      <c r="AE19" s="967">
        <f t="shared" si="7"/>
        <v>0</v>
      </c>
      <c r="AF19" s="974">
        <f t="shared" si="7"/>
        <v>3030</v>
      </c>
      <c r="AG19" s="974">
        <f t="shared" si="7"/>
        <v>0</v>
      </c>
      <c r="AH19" s="974">
        <f t="shared" si="7"/>
        <v>223</v>
      </c>
      <c r="AI19" s="974">
        <f t="shared" si="7"/>
        <v>0</v>
      </c>
      <c r="AJ19" s="967">
        <f t="shared" si="7"/>
        <v>0</v>
      </c>
      <c r="AK19" s="974">
        <f t="shared" si="7"/>
        <v>0</v>
      </c>
      <c r="AL19" s="974">
        <f t="shared" si="7"/>
        <v>0</v>
      </c>
      <c r="AM19" s="974">
        <f t="shared" si="7"/>
        <v>11006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1396</v>
      </c>
      <c r="BD19" s="966">
        <f t="shared" si="7"/>
        <v>2845</v>
      </c>
      <c r="BE19" s="966">
        <f t="shared" si="7"/>
        <v>0</v>
      </c>
      <c r="BF19" s="976">
        <f t="shared" si="7"/>
        <v>0</v>
      </c>
      <c r="BG19" s="1061">
        <f>IF(ISNUMBER(Datos!K19/Datos!J19),Datos!K19/Datos!J19," - ")</f>
        <v>1.0834864258011838</v>
      </c>
      <c r="BH19" s="1061">
        <f>IF(ISNUMBER(((Datos!L19/Datos!K19)*11)/factor_trimestre),((Datos!L19/Datos!K19)*11)/factor_trimestre," - ")</f>
        <v>4.6328183873398645</v>
      </c>
      <c r="BI19" s="959">
        <f>IF(ISNUMBER(Datos!J19/Datos!I19),Datos!J19/Datos!I19," - ")</f>
        <v>0.57104557640750675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-1.1541909457642312</v>
      </c>
      <c r="BM19" s="1035">
        <f>IF(ISNUMBER((Datos!P19-Datos!Q19+R19)/(Datos!R19-Datos!P19+Datos!Q19-R19)),(Datos!P19-Datos!Q19+R19)/(Datos!R19-Datos!P19+Datos!Q19-R19)," - ")</f>
        <v>-4.003488879197558E-2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957.6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4.2360883423796114</v>
      </c>
      <c r="F21" s="599">
        <f>IF(ISNUMBER(STDEV(F8:F18)),STDEV(F8:F18),"-")</f>
        <v>1176.0624983392677</v>
      </c>
      <c r="G21" s="600">
        <f>IF(ISNUMBER(STDEV(G8:G18)),STDEV(G8:G18),"-")</f>
        <v>1136.4932027953357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1318.5071103335015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397.59838554812592</v>
      </c>
      <c r="BD21" s="599"/>
      <c r="BE21" s="599">
        <f>IF(ISNUMBER(STDEV(BE8:BE18)),STDEV(BE8:BE18),"-")</f>
        <v>0</v>
      </c>
      <c r="BF21" s="604">
        <f>IF(ISNUMBER(STDEV(BF8:BF18)),STDEV(BF8:BF18),"-")</f>
        <v>0</v>
      </c>
      <c r="BG21" s="914">
        <f>IF(ISNUMBER(STDEV(BG8:BG18)),STDEV(BG8:BG18),"-")</f>
        <v>0.49946375632547063</v>
      </c>
      <c r="BH21" s="918">
        <f>IF(ISNUMBER(STDEV(BH8:BH18)),STDEV(BH8:BH18),"-")</f>
        <v>5.8828439999547566</v>
      </c>
      <c r="BI21" s="253">
        <f>IF(ISNUMBER(STDEV(BI8:BI18)),STDEV(BI8:BI18),"-")</f>
        <v>9.5937125897221948E-2</v>
      </c>
      <c r="BJ21" s="234" t="str">
        <f>IF(ISNUMBER(BL21/BM21),BL21/BM21," - ")</f>
        <v xml:space="preserve"> - </v>
      </c>
      <c r="BK21" s="626"/>
      <c r="BL21" s="607">
        <f>IF(ISNUMBER(STDEV(BL8:BL18)),STDEV(BL8:BL18),"-")</f>
        <v>0.69318996543685896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DSv8lcT6iWdsOgsAe2SpAm/JM2A7eTgZX7hIPz4xRdqvPDsJS+OgqmSOpu+FUBA74P/V5vmUMx3PGgJDRLwszQ==" saltValue="BBkJRLBlw2GTUyNTz6S9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OVIEDO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9</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364</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798</v>
      </c>
      <c r="AA9" s="505" t="str">
        <f>IF(ISNUMBER(IF(J_V="SI",Datos!L9,Datos!L9+Datos!AB9)-IF(Monitorios="SI",Datos!CD9,0)),
                          IF(J_V="SI",Datos!L9,Datos!L9+Datos!AB9)-IF(Monitorios="SI",Datos!CD9,0),
                          " - ")</f>
        <v xml:space="preserve"> - </v>
      </c>
      <c r="AB9" s="503"/>
      <c r="AC9" s="503"/>
      <c r="AD9" s="516"/>
      <c r="AE9" s="516">
        <f>IF(ISNUMBER(Datos!R9),Datos!R9," - ")</f>
        <v>10098</v>
      </c>
      <c r="AF9" s="619" t="str">
        <f>IF(ISNUMBER(Datos!BV9),Datos!BV9," - ")</f>
        <v xml:space="preserve"> - </v>
      </c>
      <c r="AG9" s="506" t="str">
        <f>IF(ISNUMBER(Datos!DV9),Datos!DV9," - ")</f>
        <v xml:space="preserve"> - </v>
      </c>
      <c r="AH9" s="507"/>
      <c r="AI9" s="508"/>
      <c r="AJ9" s="506">
        <f>IF(ISNUMBER(Datos!M9),Datos!M9," - ")</f>
        <v>854</v>
      </c>
      <c r="AK9" s="619">
        <f>IF(ISNUMBER(Datos!N9),Datos!N9," - ")</f>
        <v>824</v>
      </c>
      <c r="AL9" s="619" t="str">
        <f>IF(ISNUMBER(Datos!BW9),Datos!BW9," - ")</f>
        <v xml:space="preserve"> - </v>
      </c>
      <c r="AM9" s="667" t="str">
        <f>IF(ISNUMBER(Datos!BX9),Datos!BX9," - ")</f>
        <v xml:space="preserve"> - </v>
      </c>
      <c r="AN9" s="668"/>
      <c r="AO9" s="669">
        <f>IF(ISNUMBER(((NºAsuntos!I9/NºAsuntos!G9)*11)/factor_trimestre),((NºAsuntos!I9/NºAsuntos!G9)*11)/factor_trimestre," - ")</f>
        <v>5.9098101265822791</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-4.1207747816179266E-2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97</v>
      </c>
      <c r="G10" s="506">
        <f>IF(ISNUMBER(Datos!I10),Datos!I10," - ")</f>
        <v>97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9</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21</v>
      </c>
      <c r="Z10" s="703">
        <f>IF(ISNUMBER(Datos!Q10),Datos!Q10," - ")</f>
        <v>4</v>
      </c>
      <c r="AA10" s="505">
        <f>IF(ISNUMBER(Datos!L10),Datos!L10,"-")</f>
        <v>136</v>
      </c>
      <c r="AB10" s="503"/>
      <c r="AC10" s="503"/>
      <c r="AD10" s="516"/>
      <c r="AE10" s="516">
        <f>IF(ISNUMBER(Datos!R10),Datos!R10," - ")</f>
        <v>78</v>
      </c>
      <c r="AF10" s="619" t="str">
        <f>IF(ISNUMBER(Datos!BV10),Datos!BV10," - ")</f>
        <v xml:space="preserve"> - </v>
      </c>
      <c r="AG10" s="506" t="str">
        <f>IF(ISNUMBER(Datos!DV10),Datos!DV10," - ")</f>
        <v xml:space="preserve"> - </v>
      </c>
      <c r="AH10" s="507"/>
      <c r="AI10" s="508"/>
      <c r="AJ10" s="506">
        <f>IF(ISNUMBER(Datos!M10),Datos!M10," - ")</f>
        <v>6</v>
      </c>
      <c r="AK10" s="619">
        <f>IF(ISNUMBER(Datos!N10),Datos!N10," - ")</f>
        <v>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19.428571428571431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6.8493150684931503E-2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27</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41</v>
      </c>
      <c r="AA11" s="505" t="str">
        <f>IF(ISNUMBER(IF(J_V="SI",Datos!L11,Datos!L11+Datos!AB11)-IF(Monitorios="SI",Datos!CD11,0)),
                          IF(J_V="SI",Datos!L11,Datos!L11+Datos!AB11)-IF(Monitorios="SI",Datos!CD11,0),
                          " - ")</f>
        <v xml:space="preserve"> - </v>
      </c>
      <c r="AB11" s="503"/>
      <c r="AC11" s="503"/>
      <c r="AD11" s="516"/>
      <c r="AE11" s="516">
        <f>IF(ISNUMBER(Datos!R11),Datos!R11," - ")</f>
        <v>337</v>
      </c>
      <c r="AF11" s="619" t="str">
        <f>IF(ISNUMBER(Datos!BV11),Datos!BV11," - ")</f>
        <v xml:space="preserve"> - </v>
      </c>
      <c r="AG11" s="506" t="str">
        <f>IF(ISNUMBER(Datos!DV11),Datos!DV11," - ")</f>
        <v xml:space="preserve"> - </v>
      </c>
      <c r="AH11" s="507"/>
      <c r="AI11" s="508"/>
      <c r="AJ11" s="506">
        <f>IF(ISNUMBER(Datos!M11),Datos!M11," - ")</f>
        <v>161</v>
      </c>
      <c r="AK11" s="619">
        <f>IF(ISNUMBER(Datos!N11),Datos!N11," - ")</f>
        <v>259</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2.1964285714285716</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-3.9886039886039885E-2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12</v>
      </c>
      <c r="F13" s="1044">
        <f>SUBTOTAL(9,F8:F12)</f>
        <v>97</v>
      </c>
      <c r="G13" s="1044">
        <f>SUBTOTAL(9,G8:G12)</f>
        <v>97</v>
      </c>
      <c r="H13" s="1054"/>
      <c r="I13" s="1044">
        <f t="shared" ref="I13:N13" si="0">SUBTOTAL(9,I8:I12)</f>
        <v>0</v>
      </c>
      <c r="J13" s="1013">
        <f t="shared" si="0"/>
        <v>0</v>
      </c>
      <c r="K13" s="1054">
        <f t="shared" si="0"/>
        <v>0</v>
      </c>
      <c r="L13" s="1054">
        <f t="shared" si="0"/>
        <v>0</v>
      </c>
      <c r="M13" s="1054">
        <f t="shared" si="0"/>
        <v>0</v>
      </c>
      <c r="N13" s="1054">
        <f t="shared" si="0"/>
        <v>400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21</v>
      </c>
      <c r="Z13" s="1053">
        <f t="shared" si="2"/>
        <v>843</v>
      </c>
      <c r="AA13" s="1046">
        <f t="shared" si="2"/>
        <v>136</v>
      </c>
      <c r="AB13" s="1046">
        <f t="shared" si="2"/>
        <v>0</v>
      </c>
      <c r="AC13" s="1046">
        <f t="shared" si="2"/>
        <v>0</v>
      </c>
      <c r="AD13" s="1046">
        <f t="shared" si="2"/>
        <v>0</v>
      </c>
      <c r="AE13" s="1046">
        <f t="shared" si="2"/>
        <v>10513</v>
      </c>
      <c r="AF13" s="1054">
        <f t="shared" si="2"/>
        <v>0</v>
      </c>
      <c r="AG13" s="1054">
        <f t="shared" si="2"/>
        <v>0</v>
      </c>
      <c r="AH13" s="1054">
        <f t="shared" si="2"/>
        <v>0</v>
      </c>
      <c r="AI13" s="1054">
        <f t="shared" si="2"/>
        <v>0</v>
      </c>
      <c r="AJ13" s="1054">
        <f t="shared" si="2"/>
        <v>1021</v>
      </c>
      <c r="AK13" s="1054">
        <f t="shared" si="2"/>
        <v>1091</v>
      </c>
      <c r="AL13" s="1054">
        <f t="shared" si="2"/>
        <v>0</v>
      </c>
      <c r="AM13" s="1054">
        <f t="shared" si="2"/>
        <v>0</v>
      </c>
      <c r="AN13" s="1054">
        <f t="shared" si="2"/>
        <v>0</v>
      </c>
      <c r="AO13" s="1050">
        <f>IF(ISNUMBER(((NºAsuntos!I13/NºAsuntos!G13)*11)/factor_trimestre),((NºAsuntos!I13/NºAsuntos!G13)*11)/factor_trimestre," - ")</f>
        <v>5.3322611772274051</v>
      </c>
      <c r="AP13" s="1056" t="str">
        <f>IF(ISNUMBER(Datos!CI13/Datos!CJ13),Datos!CI13/Datos!CJ13," - ")</f>
        <v xml:space="preserve"> - </v>
      </c>
      <c r="AQ13" s="1074">
        <f t="shared" ref="AQ13:AV13" si="3">SUBTOTAL(9,AQ9:AQ12)</f>
        <v>0</v>
      </c>
      <c r="AR13" s="1074">
        <f t="shared" si="3"/>
        <v>-1.2600637017287648E-2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2134</v>
      </c>
      <c r="G15" s="506">
        <f>IF(ISNUMBER(IF(D_I="SI",Datos!I15,Datos!I15+Datos!AC15)),IF(D_I="SI",Datos!I15,Datos!I15+Datos!AC15)," - ")</f>
        <v>2102</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88</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2389</v>
      </c>
      <c r="Z15" s="703">
        <f>IF(ISNUMBER(Datos!Q15),Datos!Q15," - ")</f>
        <v>106</v>
      </c>
      <c r="AA15" s="505">
        <f>IF(ISNUMBER(IF(D_I="SI",Datos!L15,Datos!L15+Datos!AF15)),IF(D_I="SI",Datos!L15,Datos!L15+Datos!AF15)," - ")</f>
        <v>2590</v>
      </c>
      <c r="AB15" s="503"/>
      <c r="AC15" s="503"/>
      <c r="AD15" s="516"/>
      <c r="AE15" s="516">
        <f>IF(ISNUMBER(Datos!R15),Datos!R15," - ")</f>
        <v>478</v>
      </c>
      <c r="AF15" s="619" t="str">
        <f>IF(ISNUMBER(Datos!BV15),Datos!BV15," - ")</f>
        <v xml:space="preserve"> - </v>
      </c>
      <c r="AG15" s="506"/>
      <c r="AH15" s="507"/>
      <c r="AI15" s="508"/>
      <c r="AJ15" s="506">
        <f>IF(ISNUMBER(Datos!M15),Datos!M15," - ")</f>
        <v>351</v>
      </c>
      <c r="AK15" s="619">
        <f>IF(ISNUMBER(Datos!N15),Datos!N15," - ")</f>
        <v>1647</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3.2524068647969866</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195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5</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165</v>
      </c>
      <c r="Z17" s="703">
        <f>IF(ISNUMBER(Datos!Q17),Datos!Q17," - ")</f>
        <v>3</v>
      </c>
      <c r="AA17" s="505">
        <f>IF(ISNUMBER(Datos!L17),Datos!L17,"-")</f>
        <v>304</v>
      </c>
      <c r="AB17" s="503"/>
      <c r="AC17" s="503"/>
      <c r="AD17" s="516"/>
      <c r="AE17" s="516">
        <f>IF(ISNUMBER(Datos!R17),Datos!R17," - ")</f>
        <v>15</v>
      </c>
      <c r="AF17" s="619" t="str">
        <f>IF(ISNUMBER(Datos!BV17),Datos!BV17," - ")</f>
        <v xml:space="preserve"> - </v>
      </c>
      <c r="AG17" s="506" t="str">
        <f>IF(ISNUMBER(Datos!DV17),Datos!DV17," - ")</f>
        <v xml:space="preserve"> - </v>
      </c>
      <c r="AH17" s="507"/>
      <c r="AI17" s="508"/>
      <c r="AJ17" s="506">
        <f>IF(ISNUMBER(Datos!M17),Datos!M17," - ")</f>
        <v>24</v>
      </c>
      <c r="AK17" s="619">
        <f>IF(ISNUMBER(Datos!N17),Datos!N17," - ")</f>
        <v>107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5.5272727272727282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2134</v>
      </c>
      <c r="G18" s="1044">
        <f>SUBTOTAL(9,G15:G17)</f>
        <v>2297</v>
      </c>
      <c r="H18" s="1078">
        <f>SUBTOTAL(9,H15:H17)</f>
        <v>0</v>
      </c>
      <c r="I18" s="1057">
        <f>SUBTOTAL(9,I15:I17)</f>
        <v>0</v>
      </c>
      <c r="J18" s="1013">
        <f>SUBTOTAL(9,J14:J17)</f>
        <v>0</v>
      </c>
      <c r="K18" s="1078">
        <f t="shared" ref="K18:S18" si="4">SUBTOTAL(9,K15:K17)</f>
        <v>0</v>
      </c>
      <c r="L18" s="1078">
        <f t="shared" si="4"/>
        <v>0</v>
      </c>
      <c r="M18" s="1078">
        <f t="shared" si="4"/>
        <v>0</v>
      </c>
      <c r="N18" s="1078">
        <f t="shared" si="4"/>
        <v>93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2554</v>
      </c>
      <c r="Z18" s="1078">
        <f t="shared" si="5"/>
        <v>109</v>
      </c>
      <c r="AA18" s="1078">
        <f t="shared" si="5"/>
        <v>2894</v>
      </c>
      <c r="AB18" s="1078">
        <f t="shared" si="5"/>
        <v>0</v>
      </c>
      <c r="AC18" s="1078">
        <f t="shared" si="5"/>
        <v>0</v>
      </c>
      <c r="AD18" s="1078">
        <f t="shared" si="5"/>
        <v>0</v>
      </c>
      <c r="AE18" s="1078">
        <f t="shared" si="5"/>
        <v>493</v>
      </c>
      <c r="AF18" s="1078">
        <f t="shared" si="5"/>
        <v>0</v>
      </c>
      <c r="AG18" s="1078">
        <f t="shared" si="5"/>
        <v>0</v>
      </c>
      <c r="AH18" s="1078">
        <f t="shared" si="5"/>
        <v>0</v>
      </c>
      <c r="AI18" s="1078">
        <f t="shared" si="5"/>
        <v>0</v>
      </c>
      <c r="AJ18" s="1078">
        <f t="shared" si="5"/>
        <v>375</v>
      </c>
      <c r="AK18" s="1078">
        <f t="shared" si="5"/>
        <v>1754</v>
      </c>
      <c r="AL18" s="1078">
        <f t="shared" si="5"/>
        <v>0</v>
      </c>
      <c r="AM18" s="1078">
        <f t="shared" si="5"/>
        <v>0</v>
      </c>
      <c r="AN18" s="1078">
        <f t="shared" si="5"/>
        <v>0</v>
      </c>
      <c r="AO18" s="1080">
        <f>IF(ISNUMBER(((NºAsuntos!I18/NºAsuntos!G18)*11)/factor_trimestre),((NºAsuntos!I18/NºAsuntos!G18)*11)/factor_trimestre," - ")</f>
        <v>3.3993735317149572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17</v>
      </c>
      <c r="F19" s="966">
        <f t="shared" si="7"/>
        <v>2231</v>
      </c>
      <c r="G19" s="966">
        <f t="shared" si="7"/>
        <v>2394</v>
      </c>
      <c r="H19" s="967">
        <f t="shared" si="7"/>
        <v>0</v>
      </c>
      <c r="I19" s="966">
        <f t="shared" si="7"/>
        <v>0</v>
      </c>
      <c r="J19" s="968">
        <f t="shared" si="7"/>
        <v>0</v>
      </c>
      <c r="K19" s="966">
        <f t="shared" si="7"/>
        <v>0</v>
      </c>
      <c r="L19" s="969">
        <f t="shared" si="7"/>
        <v>0</v>
      </c>
      <c r="M19" s="966">
        <f t="shared" si="7"/>
        <v>0</v>
      </c>
      <c r="N19" s="967">
        <f t="shared" si="7"/>
        <v>493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2575</v>
      </c>
      <c r="Z19" s="973">
        <f t="shared" si="8"/>
        <v>952</v>
      </c>
      <c r="AA19" s="974">
        <f t="shared" si="8"/>
        <v>3030</v>
      </c>
      <c r="AB19" s="974">
        <f t="shared" si="8"/>
        <v>0</v>
      </c>
      <c r="AC19" s="974">
        <f t="shared" si="8"/>
        <v>0</v>
      </c>
      <c r="AD19" s="975">
        <f t="shared" si="8"/>
        <v>0</v>
      </c>
      <c r="AE19" s="975">
        <f t="shared" si="8"/>
        <v>11006</v>
      </c>
      <c r="AF19" s="976">
        <f t="shared" si="8"/>
        <v>0</v>
      </c>
      <c r="AG19" s="977">
        <f t="shared" si="8"/>
        <v>0</v>
      </c>
      <c r="AH19" s="978">
        <f t="shared" si="8"/>
        <v>0</v>
      </c>
      <c r="AI19" s="976">
        <f t="shared" si="8"/>
        <v>0</v>
      </c>
      <c r="AJ19" s="966">
        <f t="shared" si="8"/>
        <v>1396</v>
      </c>
      <c r="AK19" s="966">
        <f t="shared" si="8"/>
        <v>2845</v>
      </c>
      <c r="AL19" s="966">
        <f t="shared" si="8"/>
        <v>0</v>
      </c>
      <c r="AM19" s="979">
        <f t="shared" si="8"/>
        <v>0</v>
      </c>
      <c r="AN19" s="969">
        <f>IF(ISNUMBER(Datos!K19/Datos!J19),Datos!K19/Datos!J19," - ")</f>
        <v>1.0834864258011838</v>
      </c>
      <c r="AO19" s="969">
        <f>IF(ISNUMBER(FIND("06",Criterios!A8,1)),(IF(ISNUMBER(((Datos!R19/Datos!Q19)*11)/factor_trimestre),((Datos!R19/Datos!Q19)*11)/factor_trimestre," - ")),(IF(ISNUMBER(((Datos!L19/Datos!K19)*11)/factor_trimestre),((Datos!L19/Datos!K19)*11)/factor_trimestre," - ")))</f>
        <v>4.6328183873398645</v>
      </c>
      <c r="AP19" s="980" t="str">
        <f>IF(ISNUMBER(Datos!CI19/Datos!CJ19),Datos!CI19/Datos!CJ19," - ")</f>
        <v xml:space="preserve"> - </v>
      </c>
      <c r="AQ19" s="980">
        <f>IF(OR(ISNUMBER(FIND("01",Criterios!A8,1)),ISNUMBER(FIND("02",Criterios!A8,1)),ISNUMBER(FIND("03",Criterios!A8,1)),ISNUMBER(FIND("04",Criterios!A8,1))),(J19-Y19+K19)/(F19-K19),(I19-Y19+K19)/(F19-K19))</f>
        <v>-1.1541909457642312</v>
      </c>
      <c r="AR19" s="980">
        <f>IF(ISNUMBER((Datos!P19-Datos!Q19+O19)/(Datos!R19-Datos!P19+Datos!Q19-O19)),(Datos!P19-Datos!Q19+O19)/(Datos!R19-Datos!P19+Datos!Q19-O19)," - ")</f>
        <v>-4.003488879197558E-2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957.6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1176.0624983392677</v>
      </c>
      <c r="G21" s="600">
        <f>IF(ISNUMBER(STDEV(G8:G18)),STDEV(G8:G18),"-")</f>
        <v>1136.4932027953357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397.59838554812592</v>
      </c>
      <c r="AK21" s="256"/>
      <c r="AL21" s="256">
        <f>IF(ISNUMBER(STDEV(AL8:AL18)),STDEV(AL8:AL18),"-")</f>
        <v>0</v>
      </c>
      <c r="AM21" s="258">
        <f>IF(ISNUMBER(STDEV(AM8:AM18)),STDEV(AM8:AM18),"-")</f>
        <v>0</v>
      </c>
      <c r="AN21" s="586">
        <f>IF(ISNUMBER(STDEV(AN8:AN18)),STDEV(AN8:AN18),"-")</f>
        <v>0</v>
      </c>
      <c r="AO21" s="587">
        <f>IF(ISNUMBER(STDEV(AO8:AO18)),STDEV(AO8:AO18),"-")</f>
        <v>5.8943212682364523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ZNOOUs1+PEY6hKq0TDc2epn+sgBpCxZ+OyRadzHoWsR4RdbMFdw1g0hN8AOXG2b6CW7A21tHyJsCVU/NVLWa9w==" saltValue="CT3pP2jsbFy9l0WHZXkU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4znOWfa8D3khHrrVA3tIQgGoYjwTLkTEYvwFj5iMbEpwG0M3X3SgFKMfsWenB6OVhEhlBE9wADQq7L+Ic/kPQ==" saltValue="KUJTyRgbWt3u40U7iQ39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yPan7A6uz+I/l1B007wSaJNTIGqPeicDVDsQwMGPgMHxvP6+IYWjXAyarFqUo1x3lBZTLkhxNDbiNivSbmg==" saltValue="Ylvc11mWRpUtPmjSilbP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OVIEDO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0.32840141524605981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0.23221486767174815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hZnxYeHYJyt05eGNXXO/zOO8BlT7LBjq/OjuLdBfmKwppQDh6wG+djoGHKonC2BBJXtFaZa3E+o9Qs+VAuKq9g==" saltValue="x4Ox/pDUGx0MRZo8iCIAL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5EMy+j1oBaH/lZoBa6kKeHx+SHtl7b1qU8Oy5fIpSpi0lnIPJjdp3tpfpc+T25yKieLDtzY+g3L13TwSrEhSeQ==" saltValue="Afexw2POeJhLUX9SijYG8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OVIEDO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9</v>
      </c>
      <c r="C9" s="414">
        <f>IF(ISNUMBER(IF(J_V="SI",Datos!I9,Datos!I9+Datos!Y9)),IF(J_V="SI",Datos!I9,Datos!I9+Datos!Y9)," - ")</f>
        <v>5867</v>
      </c>
      <c r="D9" s="415">
        <f>IF(ISNUMBER(C9/Datos!BH9),C9/Datos!BH9," - ")</f>
        <v>651.88888888888891</v>
      </c>
      <c r="E9" s="414">
        <f>IF(ISNUMBER(IF(J_V="SI",Datos!J9,Datos!J9+Datos!Z9)),IF(J_V="SI",Datos!J9,Datos!J9+Datos!Z9)," - ")</f>
        <v>1663</v>
      </c>
      <c r="F9" s="415">
        <f>IF(ISNUMBER(E9/B9),E9/B9," - ")</f>
        <v>184.77777777777777</v>
      </c>
      <c r="G9" s="414">
        <f>IF(ISNUMBER(IF(J_V="SI",Datos!K9,Datos!K9+Datos!AA9)),IF(J_V="SI",Datos!K9,Datos!K9+Datos!AA9)," - ")</f>
        <v>2528</v>
      </c>
      <c r="H9" s="415">
        <f>IF(ISNUMBER(G9/B9),G9/B9," - ")</f>
        <v>280.88888888888891</v>
      </c>
      <c r="I9" s="414">
        <f>IF(ISNUMBER(IF(J_V="SI",Datos!L9,Datos!L9+Datos!AB9)),IF(J_V="SI",Datos!L9,Datos!L9+Datos!AB9)," - ")</f>
        <v>4980</v>
      </c>
      <c r="J9" s="415">
        <f>IF(ISNUMBER(I9/B9),I9/B9," - ")</f>
        <v>553.33333333333337</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97</v>
      </c>
      <c r="D10" s="415">
        <f>IF(ISNUMBER(C10/Datos!BH10),C10/Datos!BH10," - ")</f>
        <v>97</v>
      </c>
      <c r="E10" s="414">
        <f>IF(ISNUMBER(Datos!J10),Datos!J10," - ")</f>
        <v>60</v>
      </c>
      <c r="F10" s="415">
        <f>IF(ISNUMBER(E10/B10),E10/B10," - ")</f>
        <v>60</v>
      </c>
      <c r="G10" s="414">
        <f>IF(ISNUMBER(Datos!K10),Datos!K10," - ")</f>
        <v>21</v>
      </c>
      <c r="H10" s="415">
        <f>IF(ISNUMBER(G10/B10),G10/B10," - ")</f>
        <v>21</v>
      </c>
      <c r="I10" s="414">
        <f>IF(ISNUMBER(Datos!L10),Datos!L10," - ")</f>
        <v>136</v>
      </c>
      <c r="J10" s="415">
        <f>IF(ISNUMBER(I10/B10),I10/B10," - ")</f>
        <v>136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607</v>
      </c>
      <c r="D11" s="415">
        <f>IF(ISNUMBER(C11/Datos!BH11),C11/Datos!BH11," - ")</f>
        <v>303.5</v>
      </c>
      <c r="E11" s="414">
        <f>IF(ISNUMBER(IF(J_V="SI",Datos!J11,Datos!J11+Datos!Z11)),IF(J_V="SI",Datos!J11,Datos!J11+Datos!Z11)," - ")</f>
        <v>363</v>
      </c>
      <c r="F11" s="415">
        <f>IF(ISNUMBER(E11/B11),E11/B11," - ")</f>
        <v>181.5</v>
      </c>
      <c r="G11" s="414">
        <f>IF(ISNUMBER(IF(J_V="SI",Datos!K11,Datos!K11+Datos!AA11)),IF(J_V="SI",Datos!K11,Datos!K11+Datos!AA11)," - ")</f>
        <v>560</v>
      </c>
      <c r="H11" s="415">
        <f>IF(ISNUMBER(G11/B11),G11/B11," - ")</f>
        <v>280</v>
      </c>
      <c r="I11" s="414">
        <f>IF(ISNUMBER(IF(J_V="SI",Datos!L11,Datos!L11+Datos!AB11)),IF(J_V="SI",Datos!L11,Datos!L11+Datos!AB11)," - ")</f>
        <v>410</v>
      </c>
      <c r="J11" s="415">
        <f>IF(ISNUMBER(I11/B11),I11/B11," - ")</f>
        <v>205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12</v>
      </c>
      <c r="C13" s="995">
        <f>SUBTOTAL(9,C8:C12)</f>
        <v>6571</v>
      </c>
      <c r="D13" s="996" t="str">
        <f>IF(ISNUMBER(C13/Datos!BI13),C13/Datos!BI13," - ")</f>
        <v xml:space="preserve"> - </v>
      </c>
      <c r="E13" s="995">
        <f>SUBTOTAL(9,E8:E12)</f>
        <v>2086</v>
      </c>
      <c r="F13" s="996">
        <f>IF(ISNUMBER(E13/B13),E13/B13," - ")</f>
        <v>173.83333333333334</v>
      </c>
      <c r="G13" s="995">
        <f>SUBTOTAL(9,G8:G12)</f>
        <v>3109</v>
      </c>
      <c r="H13" s="996">
        <f>IF(ISNUMBER(G13/B13),G13/B13," - ")</f>
        <v>259.08333333333331</v>
      </c>
      <c r="I13" s="995">
        <f>SUBTOTAL(9,I8:I12)</f>
        <v>5526</v>
      </c>
      <c r="J13" s="996">
        <f>IF(ISNUMBER(I13/B13),I13/B13," - ")</f>
        <v>460.5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2102</v>
      </c>
      <c r="D15" s="415">
        <f>IF(ISNUMBER(C15/Datos!BH15),C15/Datos!BH15," - ")</f>
        <v>525.5</v>
      </c>
      <c r="E15" s="414">
        <f>IF(ISNUMBER(IF(D_I="SI",Datos!J15,Datos!J15+Datos!AD15)),IF(D_I="SI",Datos!J15,Datos!J15+Datos!AD15)," - ")</f>
        <v>2845</v>
      </c>
      <c r="F15" s="415">
        <f>IF(ISNUMBER(E15/B15),E15/B15," - ")</f>
        <v>711.25</v>
      </c>
      <c r="G15" s="414">
        <f>IF(ISNUMBER(IF(D_I="SI",Datos!K15,Datos!K15+Datos!AE15)),IF(D_I="SI",Datos!K15,Datos!K15+Datos!AE15)," - ")</f>
        <v>2389</v>
      </c>
      <c r="H15" s="415">
        <f>IF(ISNUMBER(G15/B15),G15/B15," - ")</f>
        <v>597.25</v>
      </c>
      <c r="I15" s="414">
        <f>IF(ISNUMBER(IF(D_I="SI",Datos!L15,Datos!L15+Datos!AF15)),IF(D_I="SI",Datos!L15,Datos!L15+Datos!AF15)," - ")</f>
        <v>2590</v>
      </c>
      <c r="J15" s="415">
        <f>IF(ISNUMBER(I15/B15),I15/B15," - ")</f>
        <v>647.5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195</v>
      </c>
      <c r="D17" s="415">
        <f>IF(ISNUMBER(C17/Datos!BH17),C17/Datos!BH17," - ")</f>
        <v>195</v>
      </c>
      <c r="E17" s="414">
        <f>IF(ISNUMBER(IF(D_I="SI",Datos!J17,Datos!J17+Datos!AD17)),IF(D_I="SI",Datos!J17,Datos!J17+Datos!AD17)," - ")</f>
        <v>274</v>
      </c>
      <c r="F17" s="415">
        <f>IF(ISNUMBER(E17/B17),E17/B17," - ")</f>
        <v>274</v>
      </c>
      <c r="G17" s="414">
        <f>IF(ISNUMBER(IF(D_I="SI",Datos!K17,Datos!K17+Datos!AE17)),IF(D_I="SI",Datos!K17,Datos!K17+Datos!AE17)," - ")</f>
        <v>165</v>
      </c>
      <c r="H17" s="415">
        <f>IF(ISNUMBER(G17/B17),G17/B17," - ")</f>
        <v>165</v>
      </c>
      <c r="I17" s="414">
        <f>IF(ISNUMBER(IF(D_I="SI",Datos!L17,Datos!L17+Datos!AF17)),IF(D_I="SI",Datos!L17,Datos!L17+Datos!AF17)," - ")</f>
        <v>304</v>
      </c>
      <c r="J17" s="415">
        <f>IF(ISNUMBER(I17/B17),I17/B17," - ")</f>
        <v>304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2297</v>
      </c>
      <c r="D18" s="996" t="str">
        <f>IF(ISNUMBER(C18/Datos!BI18),C18/Datos!BI18," - ")</f>
        <v xml:space="preserve"> - </v>
      </c>
      <c r="E18" s="995">
        <f>SUBTOTAL(9,E14:E17)</f>
        <v>3119</v>
      </c>
      <c r="F18" s="996">
        <f>IF(ISNUMBER(E18/B18),E18/B18," - ")</f>
        <v>623.79999999999995</v>
      </c>
      <c r="G18" s="995">
        <f>SUBTOTAL(9,G14:G17)</f>
        <v>2554</v>
      </c>
      <c r="H18" s="996">
        <f>IF(ISNUMBER(G18/B18),G18/B18," - ")</f>
        <v>510.8</v>
      </c>
      <c r="I18" s="995">
        <f>SUBTOTAL(9,I14:I17)</f>
        <v>2894</v>
      </c>
      <c r="J18" s="996">
        <f>IF(ISNUMBER(I18/B18),I18/B18," - ")</f>
        <v>578.79999999999995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16</v>
      </c>
      <c r="C19" s="940">
        <f>SUBTOTAL(9,C9:C18)</f>
        <v>8868</v>
      </c>
      <c r="D19" s="941" t="str">
        <f>IF(ISNUMBER(C19/Datos!BI19),C19/Datos!BI19," - ")</f>
        <v xml:space="preserve"> - </v>
      </c>
      <c r="E19" s="940">
        <f>SUBTOTAL(9,E9:E18)</f>
        <v>5205</v>
      </c>
      <c r="F19" s="941">
        <f>IF(ISNUMBER(E19/B19),E19/B19," - ")</f>
        <v>325.3125</v>
      </c>
      <c r="G19" s="940">
        <f>SUBTOTAL(9,G9:G18)</f>
        <v>5663</v>
      </c>
      <c r="H19" s="941">
        <f>IF(ISNUMBER(G19/B19),G19/B19," - ")</f>
        <v>353.9375</v>
      </c>
      <c r="I19" s="940">
        <f>SUBTOTAL(9,I9:I18)</f>
        <v>8420</v>
      </c>
      <c r="J19" s="941">
        <f>IF(ISNUMBER(I19/B19),I19/B19," - ")</f>
        <v>526.25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i/8GsIBJbhOayld2eqDF39cguY5BWsVAmlCFoSshANRMyXLe9NwMmi9wSbx1MXHbkiWL8XdAZYYB1DRUacbkSA==" saltValue="G698+bzxu06kc01QFLaY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OVIEDO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9</v>
      </c>
      <c r="B9" s="652" t="s">
        <v>249</v>
      </c>
      <c r="C9" s="670" t="str">
        <f>Datos!A9</f>
        <v xml:space="preserve">Jdos. 1ª Instancia   </v>
      </c>
      <c r="D9" s="543"/>
      <c r="E9" s="800">
        <f>IF(ISNUMBER(Datos!AQ9),Datos!AQ9," - ")</f>
        <v>9</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97</v>
      </c>
      <c r="G10" s="802">
        <f>IF(ISNUMBER(Datos!I10),Datos!I10," - ")</f>
        <v>97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9</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21</v>
      </c>
      <c r="AC10" s="801" t="str">
        <f>IF(ISNUMBER(IF(D_I="SI",DatosP!K17,DatosP!K17+DatosP!AE17)),IF(D_I="SI",DatosP!K17,DatosP!K17+DatosP!AE17)," - ")</f>
        <v xml:space="preserve"> - </v>
      </c>
      <c r="AD10" s="803"/>
      <c r="AE10" s="803"/>
      <c r="AF10" s="806">
        <f>IF(ISNUMBER(Datos!L10),Datos!L10,"-")</f>
        <v>136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8</v>
      </c>
      <c r="AN10" s="810">
        <f>IF(ISNUMBER(Datos!BW10+DatosP!BW17),Datos!BW10+DatosP!BW17," - ")</f>
        <v>0</v>
      </c>
      <c r="AO10" s="811">
        <f>IF(ISNUMBER(Datos!BX10+DatosP!BX17),Datos!BX10+DatosP!BX17," - ")</f>
        <v>0</v>
      </c>
      <c r="AP10" s="813">
        <f>IF(ISNUMBER(((Datos!L10/Datos!K10)*11)/factor_trimestre),((Datos!L10/Datos!K10)*11)/factor_trimestre," - ")</f>
        <v>19.428571428571431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12</v>
      </c>
      <c r="F13" s="1084">
        <f t="shared" si="0"/>
        <v>97</v>
      </c>
      <c r="G13" s="1084">
        <f t="shared" si="0"/>
        <v>97</v>
      </c>
      <c r="H13" s="1084">
        <f t="shared" si="0"/>
        <v>0</v>
      </c>
      <c r="I13" s="1086">
        <f t="shared" si="0"/>
        <v>0</v>
      </c>
      <c r="J13" s="1085">
        <f t="shared" si="0"/>
        <v>0</v>
      </c>
      <c r="K13" s="1085">
        <f t="shared" si="0"/>
        <v>0</v>
      </c>
      <c r="L13" s="1087">
        <f t="shared" si="0"/>
        <v>0</v>
      </c>
      <c r="M13" s="1087">
        <f t="shared" si="0"/>
        <v>0</v>
      </c>
      <c r="N13" s="1085">
        <f t="shared" si="0"/>
        <v>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21</v>
      </c>
      <c r="AC13" s="1085">
        <f t="shared" si="1"/>
        <v>0</v>
      </c>
      <c r="AD13" s="1085">
        <f t="shared" si="1"/>
        <v>0</v>
      </c>
      <c r="AE13" s="1085">
        <f t="shared" si="1"/>
        <v>0</v>
      </c>
      <c r="AF13" s="1085">
        <f t="shared" si="1"/>
        <v>136</v>
      </c>
      <c r="AG13" s="1085">
        <f t="shared" si="1"/>
        <v>0</v>
      </c>
      <c r="AH13" s="1085">
        <f t="shared" si="1"/>
        <v>0</v>
      </c>
      <c r="AI13" s="1085">
        <f t="shared" si="1"/>
        <v>0</v>
      </c>
      <c r="AJ13" s="1085">
        <f t="shared" si="1"/>
        <v>0</v>
      </c>
      <c r="AK13" s="1085">
        <f t="shared" si="1"/>
        <v>0</v>
      </c>
      <c r="AL13" s="1085">
        <f t="shared" si="1"/>
        <v>6</v>
      </c>
      <c r="AM13" s="1085">
        <f t="shared" si="1"/>
        <v>8</v>
      </c>
      <c r="AN13" s="1085">
        <f t="shared" si="1"/>
        <v>0</v>
      </c>
      <c r="AO13" s="1085">
        <f t="shared" si="1"/>
        <v>0</v>
      </c>
      <c r="AP13" s="1090">
        <f>IF(ISNUMBER(((Datos!L13/Datos!K13)*11)/factor_trimestre),((Datos!L13/Datos!K13)*11)/factor_trimestre," - ")</f>
        <v>5.776688453159041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-0.21649484536082475</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3.3993735317149572</v>
      </c>
      <c r="AQ18" s="1090">
        <f>IF(ISNUMBER(((Datos!M18/Datos!L18)*11)/factor_trimestre),((Datos!M18/Datos!L18)*11)/factor_trimestre," - ")</f>
        <v>0.38873531444367654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-3.1434184675834968E-2</v>
      </c>
      <c r="AW18" s="1092">
        <f>IF(ISNUMBER((Datos!Q18-Datos!R18)/(Datos!S18-Datos!Q18+Datos!R18)),(Datos!Q18-Datos!R18)/(Datos!S18-Datos!Q18+Datos!R18)," - ")</f>
        <v>-0.17059084851177256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12</v>
      </c>
      <c r="F19" s="1097">
        <f t="shared" si="4"/>
        <v>97</v>
      </c>
      <c r="G19" s="1097">
        <f t="shared" si="4"/>
        <v>97</v>
      </c>
      <c r="H19" s="1097">
        <f t="shared" si="4"/>
        <v>0</v>
      </c>
      <c r="I19" s="1098">
        <f t="shared" si="4"/>
        <v>0</v>
      </c>
      <c r="J19" s="1099">
        <f t="shared" si="4"/>
        <v>0</v>
      </c>
      <c r="K19" s="1099">
        <f t="shared" si="4"/>
        <v>0</v>
      </c>
      <c r="L19" s="1099">
        <f t="shared" si="4"/>
        <v>0</v>
      </c>
      <c r="M19" s="1099">
        <f t="shared" si="4"/>
        <v>0</v>
      </c>
      <c r="N19" s="1098">
        <f t="shared" si="4"/>
        <v>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21</v>
      </c>
      <c r="AC19" s="1103">
        <f t="shared" si="5"/>
        <v>0</v>
      </c>
      <c r="AD19" s="1103">
        <f t="shared" si="5"/>
        <v>0</v>
      </c>
      <c r="AE19" s="1103">
        <f t="shared" si="5"/>
        <v>0</v>
      </c>
      <c r="AF19" s="1104">
        <f t="shared" si="5"/>
        <v>136</v>
      </c>
      <c r="AG19" s="1104">
        <f t="shared" si="5"/>
        <v>0</v>
      </c>
      <c r="AH19" s="1104">
        <f t="shared" si="5"/>
        <v>0</v>
      </c>
      <c r="AI19" s="1104">
        <f t="shared" si="5"/>
        <v>0</v>
      </c>
      <c r="AJ19" s="1105">
        <f t="shared" si="5"/>
        <v>0</v>
      </c>
      <c r="AK19" s="1105">
        <f t="shared" si="5"/>
        <v>0</v>
      </c>
      <c r="AL19" s="1097">
        <f t="shared" si="5"/>
        <v>6</v>
      </c>
      <c r="AM19" s="1097">
        <f t="shared" si="5"/>
        <v>8</v>
      </c>
      <c r="AN19" s="1097">
        <f t="shared" si="5"/>
        <v>0</v>
      </c>
      <c r="AO19" s="1097">
        <f t="shared" si="5"/>
        <v>0</v>
      </c>
      <c r="AP19" s="1097">
        <f>IF(ISNUMBER(((Datos!L19/Datos!K19)*11)/factor_trimestre),((Datos!L19/Datos!K19)*11)/factor_trimestre," - ")</f>
        <v>4.6328183873398645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-0.21649484536082475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-4.003488879197558E-2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64.666666666666671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5.1768716422179137</v>
      </c>
      <c r="F21" s="869">
        <f>IF(ISNUMBER(STDEV(F8:F18)),STDEV(F8:F18),"-")</f>
        <v>56.0029761113937</v>
      </c>
      <c r="G21" s="870">
        <f>IF(ISNUMBER(STDEV(G8:G18)),STDEV(G8:G18),"-")</f>
        <v>56.0029761113937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12.124355652982141</v>
      </c>
      <c r="AC21" s="871">
        <f>IF(ISNUMBER(STDEV(AC8:AC18)),STDEV(AC8:AC18),"-")</f>
        <v>0</v>
      </c>
      <c r="AD21" s="874"/>
      <c r="AE21" s="874"/>
      <c r="AF21" s="874"/>
      <c r="AG21" s="874"/>
      <c r="AH21" s="874"/>
      <c r="AI21" s="874"/>
      <c r="AJ21" s="875">
        <f>IF(ISNUMBER(STDEV(AJ8:AJ18)),STDEV(AJ8:AJ18),"-")</f>
        <v>0</v>
      </c>
      <c r="AK21" s="877"/>
      <c r="AL21" s="869">
        <f>IF(ISNUMBER(STDEV(AL8:AL18)),STDEV(AL8:AL18),"-")</f>
        <v>3.4641016151377544</v>
      </c>
      <c r="AM21" s="869"/>
      <c r="AN21" s="869">
        <f>IF(ISNUMBER(STDEV(AN8:AN18)),STDEV(AN8:AN18),"-")</f>
        <v>0</v>
      </c>
      <c r="AO21" s="875">
        <f>IF(ISNUMBER(STDEV(AO8:AO18)),STDEV(AO8:AO18),"-")</f>
        <v>0</v>
      </c>
      <c r="AP21" s="922">
        <f>IF(ISNUMBER(STDEV(AP8:AP18)),STDEV(AP8:AP18),"-")</f>
        <v>8.6502477828351214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fzNe+hx5VMWqjbL5L6vPBRLEzxCk5q8TLjnCUZpJpCtTNonOh2MjjhnmU0l2cAma2w2CQwycyghAU+DdGZ61ew==" saltValue="UyeFzE3Rdoqkhg6oe+rg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OVIEDO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9</v>
      </c>
      <c r="D9" s="414">
        <f>Datos!BK9</f>
        <v>0</v>
      </c>
      <c r="E9" s="414">
        <f>Datos!AQ9</f>
        <v>9</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ENMRYwuF97uskpl66cRQ2g7kHxE5tvnI2UOI4E3f+lFtsQqdPEvrvJ1bmy5n1XddagU3t2fg2oKyfw28yBzdg==" saltValue="aLtK9KZ+IsXozQ2zHu2n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OVIEDO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9</v>
      </c>
      <c r="C9" s="421">
        <f>Datos!AQ9</f>
        <v>9</v>
      </c>
      <c r="D9" s="414">
        <f>IF(ISNUMBER(Datos!M9),Datos!M9," - ")</f>
        <v>854</v>
      </c>
      <c r="E9" s="415">
        <f t="shared" ref="E9:E13" si="0">IF(ISNUMBER(D9/B9),D9/B9," - ")</f>
        <v>94.888888888888886</v>
      </c>
      <c r="F9" s="414">
        <f>IF(ISNUMBER(Datos!N9),Datos!N9," - ")</f>
        <v>824</v>
      </c>
      <c r="G9" s="415">
        <f t="shared" ref="G9:G13" si="1">IF(ISNUMBER(F9/B9),F9/B9," - ")</f>
        <v>91.555555555555557</v>
      </c>
      <c r="H9" s="414">
        <f>IF(ISNUMBER(Datos!O9),Datos!O9," - ")</f>
        <v>1041</v>
      </c>
      <c r="I9" s="415">
        <f>IF(ISNUMBER(H9/B9),H9/B9," - ")</f>
        <v>115.66666666666667</v>
      </c>
    </row>
    <row r="10" spans="1:9">
      <c r="A10" s="413" t="str">
        <f>Datos!A10</f>
        <v>Jdos. Violencia contra la mujer</v>
      </c>
      <c r="B10" s="443">
        <f>Datos!AO10</f>
        <v>1</v>
      </c>
      <c r="C10" s="421">
        <f>Datos!AQ10</f>
        <v>1</v>
      </c>
      <c r="D10" s="414">
        <f>IF(ISNUMBER(Datos!M10),Datos!M10," - ")</f>
        <v>6</v>
      </c>
      <c r="E10" s="415">
        <f>IF(ISNUMBER(D10/B10),D10/B10," - ")</f>
        <v>6</v>
      </c>
      <c r="F10" s="414">
        <f>IF(ISNUMBER(Datos!N10),Datos!N10," - ")</f>
        <v>8</v>
      </c>
      <c r="G10" s="415">
        <f>IF(ISNUMBER(F10/B10),F10/B10," - ")</f>
        <v>8</v>
      </c>
      <c r="H10" s="414">
        <f>IF(ISNUMBER(Datos!O10),Datos!O10," - ")</f>
        <v>9</v>
      </c>
      <c r="I10" s="415">
        <f t="shared" ref="I10:I12" si="2">IF(ISNUMBER(H10/B10),H10/B10," - ")</f>
        <v>9</v>
      </c>
    </row>
    <row r="11" spans="1:9">
      <c r="A11" s="413" t="str">
        <f>Datos!A11</f>
        <v xml:space="preserve">Jdos. Familia                                   </v>
      </c>
      <c r="B11" s="443">
        <f>Datos!AO11</f>
        <v>2</v>
      </c>
      <c r="C11" s="421">
        <f>Datos!AQ11</f>
        <v>2</v>
      </c>
      <c r="D11" s="414">
        <f>IF(ISNUMBER(Datos!M11),Datos!M11," - ")</f>
        <v>161</v>
      </c>
      <c r="E11" s="415">
        <f t="shared" si="0"/>
        <v>80.5</v>
      </c>
      <c r="F11" s="414">
        <f>IF(ISNUMBER(Datos!N11),Datos!N11," - ")</f>
        <v>259</v>
      </c>
      <c r="G11" s="415">
        <f t="shared" si="1"/>
        <v>129.5</v>
      </c>
      <c r="H11" s="414">
        <f>IF(ISNUMBER(Datos!O11),Datos!O11," - ")</f>
        <v>146</v>
      </c>
      <c r="I11" s="415">
        <f t="shared" si="2"/>
        <v>73</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12</v>
      </c>
      <c r="C13" s="997">
        <f>Datos!AR13</f>
        <v>12</v>
      </c>
      <c r="D13" s="995">
        <f>SUBTOTAL(9,D9:D12)</f>
        <v>1021</v>
      </c>
      <c r="E13" s="996">
        <f t="shared" si="0"/>
        <v>85.083333333333329</v>
      </c>
      <c r="F13" s="995">
        <f>SUBTOTAL(9,F9:F12)</f>
        <v>1091</v>
      </c>
      <c r="G13" s="996">
        <f t="shared" si="1"/>
        <v>90.916666666666671</v>
      </c>
      <c r="H13" s="995">
        <f>SUBTOTAL(9,H9:H12)</f>
        <v>1196</v>
      </c>
      <c r="I13" s="996">
        <f>IF(ISNUMBER(H13/B13),H13/B13," - ")</f>
        <v>99.666666666666671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351</v>
      </c>
      <c r="E15" s="415">
        <f t="shared" ref="E15:E18" si="3">IF(ISNUMBER(D15/B15),D15/B15," - ")</f>
        <v>87.75</v>
      </c>
      <c r="F15" s="414">
        <f>IF(ISNUMBER(Datos!N15),Datos!N15," - ")</f>
        <v>1647</v>
      </c>
      <c r="G15" s="415">
        <f t="shared" ref="G15:G18" si="4">IF(ISNUMBER(F15/B15),F15/B15," - ")</f>
        <v>411.75</v>
      </c>
      <c r="H15" s="414">
        <f>IF(ISNUMBER(Datos!O15),Datos!O15," - ")</f>
        <v>102</v>
      </c>
      <c r="I15" s="415">
        <f t="shared" ref="I15:I17" si="5">IF(ISNUMBER(H15/B15),H15/B15," - ")</f>
        <v>25.5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24</v>
      </c>
      <c r="E17" s="415">
        <f>IF(ISNUMBER(D17/B17),D17/B17," - ")</f>
        <v>24</v>
      </c>
      <c r="F17" s="414">
        <f>IF(ISNUMBER(Datos!N17),Datos!N17," - ")</f>
        <v>107</v>
      </c>
      <c r="G17" s="415">
        <f>IF(ISNUMBER(F17/B17),F17/B17," - ")</f>
        <v>107</v>
      </c>
      <c r="H17" s="414">
        <f>IF(ISNUMBER(Datos!O17),Datos!O17," - ")</f>
        <v>3</v>
      </c>
      <c r="I17" s="415">
        <f t="shared" si="5"/>
        <v>3</v>
      </c>
    </row>
    <row r="18" spans="1:9" ht="14.25" thickTop="1" thickBot="1">
      <c r="A18" s="994" t="str">
        <f>Datos!A18</f>
        <v>TOTAL</v>
      </c>
      <c r="B18" s="995">
        <f>Datos!AO18</f>
        <v>5</v>
      </c>
      <c r="C18" s="997">
        <f>Datos!AR18</f>
        <v>5</v>
      </c>
      <c r="D18" s="995">
        <f>SUBTOTAL(9,D15:D17)</f>
        <v>375</v>
      </c>
      <c r="E18" s="996">
        <f t="shared" si="3"/>
        <v>75</v>
      </c>
      <c r="F18" s="995">
        <f>SUBTOTAL(9,F15:F17)</f>
        <v>1754</v>
      </c>
      <c r="G18" s="996">
        <f t="shared" si="4"/>
        <v>350.8</v>
      </c>
      <c r="H18" s="995">
        <f>SUBTOTAL(9,H15:H17)</f>
        <v>105</v>
      </c>
      <c r="I18" s="996">
        <f>IF(ISNUMBER(H18/B18),H18/B18," - ")</f>
        <v>21</v>
      </c>
    </row>
    <row r="19" spans="1:9" ht="14.25" thickTop="1" thickBot="1">
      <c r="A19" s="939" t="str">
        <f>Datos!A19</f>
        <v>TOTAL JURISDICCIONES</v>
      </c>
      <c r="B19" s="940">
        <f>Datos!AP19</f>
        <v>16</v>
      </c>
      <c r="C19" s="940">
        <f>Datos!AR19</f>
        <v>16</v>
      </c>
      <c r="D19" s="940">
        <f>SUBTOTAL(9,D8:D18)</f>
        <v>1396</v>
      </c>
      <c r="E19" s="941">
        <f>IF(ISNUMBER(D19/B19),D19/B19," - ")</f>
        <v>87.25</v>
      </c>
      <c r="F19" s="940">
        <f>SUBTOTAL(9,F8:F18)</f>
        <v>2845</v>
      </c>
      <c r="G19" s="941">
        <f>IF(ISNUMBER(F19/B19),F19/B19," - ")</f>
        <v>177.8125</v>
      </c>
      <c r="H19" s="940">
        <f>SUBTOTAL(9,H8:H18)</f>
        <v>1301</v>
      </c>
      <c r="I19" s="941">
        <f>IF(ISNUMBER(H19/B19),H19/B19," - ")</f>
        <v>81.3125</v>
      </c>
    </row>
    <row r="22" spans="1:9">
      <c r="A22" s="402" t="str">
        <f>Criterios!A4</f>
        <v>Fecha Informe: 06 oct. 2023</v>
      </c>
    </row>
    <row r="27" spans="1:9">
      <c r="A27" s="425"/>
    </row>
  </sheetData>
  <sheetProtection algorithmName="SHA-512" hashValue="xd4tpBT3xKzrGRj4RVwUqMIkvsGUicJ+1PHXPnPsxTJ8zCWN4rNjuOJ/boAWXTDq31CQrp2kqP/mGIJ9gaamww==" saltValue="hQU+EjU0oyyIEEgNRrZv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OVIEDO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364</v>
      </c>
      <c r="C9" s="450">
        <f>IF(ISNUMBER(Datos!Q9),Datos!Q9," - ")</f>
        <v>798</v>
      </c>
      <c r="D9" s="419">
        <f>IF(ISNUMBER(Datos!R9),Datos!R9," - ")</f>
        <v>10098</v>
      </c>
    </row>
    <row r="10" spans="1:4">
      <c r="A10" s="413" t="str">
        <f>Datos!A10</f>
        <v>Jdos. Violencia contra la mujer</v>
      </c>
      <c r="B10" s="449">
        <f>IF(ISNUMBER(Datos!P10),Datos!P10," - ")</f>
        <v>9</v>
      </c>
      <c r="C10" s="450">
        <f>IF(ISNUMBER(Datos!Q10),Datos!Q10," - ")</f>
        <v>4</v>
      </c>
      <c r="D10" s="419">
        <f>IF(ISNUMBER(Datos!R10),Datos!R10," - ")</f>
        <v>78</v>
      </c>
    </row>
    <row r="11" spans="1:4">
      <c r="A11" s="413" t="str">
        <f>Datos!A11</f>
        <v xml:space="preserve">Jdos. Familia                                   </v>
      </c>
      <c r="B11" s="449">
        <f>IF(ISNUMBER(Datos!P11),Datos!P11," - ")</f>
        <v>27</v>
      </c>
      <c r="C11" s="450">
        <f>IF(ISNUMBER(Datos!Q11),Datos!Q11," - ")</f>
        <v>41</v>
      </c>
      <c r="D11" s="419">
        <f>IF(ISNUMBER(Datos!R11),Datos!R11," - ")</f>
        <v>337</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400</v>
      </c>
      <c r="C13" s="999">
        <f>SUBTOTAL(9,C9:C12)</f>
        <v>843</v>
      </c>
      <c r="D13" s="997">
        <f>SUBTOTAL(9,D9:D12)</f>
        <v>10513</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88</v>
      </c>
      <c r="C15" s="450">
        <f>IF(ISNUMBER(Datos!Q15),Datos!Q15," - ")</f>
        <v>106</v>
      </c>
      <c r="D15" s="419">
        <f>IF(ISNUMBER(Datos!R15),Datos!R15," - ")</f>
        <v>478</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5</v>
      </c>
      <c r="C17" s="450">
        <f>IF(ISNUMBER(Datos!Q17),Datos!Q17," - ")</f>
        <v>3</v>
      </c>
      <c r="D17" s="419">
        <f>IF(ISNUMBER(Datos!R17),Datos!R17," - ")</f>
        <v>15</v>
      </c>
    </row>
    <row r="18" spans="1:4" ht="14.25" thickTop="1" thickBot="1">
      <c r="A18" s="994" t="str">
        <f>Datos!A18</f>
        <v>TOTAL</v>
      </c>
      <c r="B18" s="995">
        <f>SUBTOTAL(9,B15:B17)</f>
        <v>93</v>
      </c>
      <c r="C18" s="999">
        <f>SUBTOTAL(9,C15:C17)</f>
        <v>109</v>
      </c>
      <c r="D18" s="997">
        <f>SUBTOTAL(9,D15:D17)</f>
        <v>493</v>
      </c>
    </row>
    <row r="19" spans="1:4" ht="16.5" customHeight="1" thickTop="1" thickBot="1">
      <c r="A19" s="939" t="str">
        <f>Datos!A19</f>
        <v>TOTAL JURISDICCIONES</v>
      </c>
      <c r="B19" s="944">
        <f>SUBTOTAL(9,B8:B18)</f>
        <v>493</v>
      </c>
      <c r="C19" s="945">
        <f>SUBTOTAL(9,C8:C18)</f>
        <v>952</v>
      </c>
      <c r="D19" s="946">
        <f>SUBTOTAL(9,D8:D18)</f>
        <v>11006</v>
      </c>
    </row>
    <row r="20" spans="1:4" ht="7.5" customHeight="1"/>
    <row r="21" spans="1:4" ht="6" customHeight="1"/>
    <row r="22" spans="1:4">
      <c r="A22" s="402" t="str">
        <f>Criterios!A4</f>
        <v>Fecha Informe: 06 oct. 2023</v>
      </c>
    </row>
    <row r="27" spans="1:4">
      <c r="A27" s="425"/>
    </row>
  </sheetData>
  <sheetProtection algorithmName="SHA-512" hashValue="OTYeqLJQmQ//5dkCPRPgNzIj236j01lPs31fwoTvVW478Dr1Njenw33mUKPBffRD9ZldDLhj6LWIz/98Xf/x9Q==" saltValue="OuC6sdjaSvTWyHuIBFnB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OVIEDO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0.12308575803981624</v>
      </c>
      <c r="C9" s="472">
        <f>IF(ISNUMBER(
   IF(J_V="SI",(Datos!J9-Datos!T9)/Datos!T9,(Datos!J9+Datos!Z9-(Datos!T9+Datos!AH9))/(Datos!T9+Datos!AH9))
     ),IF(J_V="SI",(Datos!J9-Datos!T9)/Datos!T9,(Datos!J9+Datos!Z9-(Datos!T9+Datos!AH9))/(Datos!T9+Datos!AH9))," - ")</f>
        <v>-0.58683229813664595</v>
      </c>
      <c r="D9" s="472">
        <f>IF(ISNUMBER(
   IF(J_V="SI",(Datos!K9-Datos!U9)/Datos!U9,(Datos!K9+Datos!AA9-(Datos!U9+Datos!AI9))/(Datos!U9+Datos!AI9))
     ),IF(J_V="SI",(Datos!K9-Datos!U9)/Datos!U9,(Datos!K9+Datos!AA9-(Datos!U9+Datos!AI9))/(Datos!U9+Datos!AI9))," - ")</f>
        <v>-0.40962167211583372</v>
      </c>
      <c r="E9" s="472">
        <f>IF(ISNUMBER(
   IF(J_V="SI",(Datos!L9-Datos!V9)/Datos!V9,(Datos!L9+Datos!AB9-(Datos!V9+Datos!AJ9))/(Datos!V9+Datos!AJ9))
     ),IF(J_V="SI",(Datos!L9-Datos!V9)/Datos!V9,(Datos!L9+Datos!AB9-(Datos!V9+Datos!AJ9))/(Datos!V9+Datos!AJ9))," - ")</f>
        <v>3.8298730094738962E-3</v>
      </c>
      <c r="F9" s="472">
        <f>IF(ISNUMBER((Datos!M9-Datos!W9)/Datos!W9),(Datos!M9-Datos!W9)/Datos!W9," - ")</f>
        <v>-0.47218788627935721</v>
      </c>
      <c r="G9" s="473">
        <f>IF(ISNUMBER((Datos!N9-Datos!X9)/Datos!X9),(Datos!N9-Datos!X9)/Datos!X9," - ")</f>
        <v>-0.3087248322147651</v>
      </c>
      <c r="H9" s="471">
        <f>IF(ISNUMBER(((NºAsuntos!G9/NºAsuntos!E9)-Datos!BD9)/Datos!BD9),((NºAsuntos!G9/NºAsuntos!E9)-Datos!BD9)/Datos!BD9," - ")</f>
        <v>0.42890725780743805</v>
      </c>
      <c r="I9" s="472">
        <f>IF(ISNUMBER(((NºAsuntos!I9/NºAsuntos!G9)-Datos!BE9)/Datos!BE9),((NºAsuntos!I9/NºAsuntos!G9)-Datos!BE9)/Datos!BE9," - ")</f>
        <v>0.70031626433012961</v>
      </c>
      <c r="J9" s="477">
        <f>IF(ISNUMBER((('Resol  Asuntos'!D9/NºAsuntos!G9)-Datos!BF9)/Datos!BF9),(('Resol  Asuntos'!D9/NºAsuntos!G9)-Datos!BF9)/Datos!BF9," - ")</f>
        <v>0.21353193229122419</v>
      </c>
      <c r="K9" s="478">
        <f>IF(ISNUMBER((((NºAsuntos!C9+NºAsuntos!E9)/NºAsuntos!G9)-Datos!BG9)/Datos!BG9),(((NºAsuntos!C9+NºAsuntos!E9)/NºAsuntos!G9)-Datos!BG9)/Datos!BG9," - ")</f>
        <v>0.37901754004196153</v>
      </c>
    </row>
    <row r="10" spans="1:11">
      <c r="A10" s="413" t="str">
        <f>Datos!A10</f>
        <v>Jdos. Violencia contra la mujer</v>
      </c>
      <c r="B10" s="471">
        <f>IF(ISNUMBER((Datos!I10-Datos!S10)/Datos!S10),(Datos!I10-Datos!S10)/Datos!S10," - ")</f>
        <v>0.24358974358974358</v>
      </c>
      <c r="C10" s="472">
        <f>IF(ISNUMBER((Datos!J10-Datos!T10)/Datos!T10),(Datos!J10-Datos!T10)/Datos!T10," - ")</f>
        <v>0.13207547169811321</v>
      </c>
      <c r="D10" s="472">
        <f>IF(ISNUMBER((Datos!K10-Datos!U10)/Datos!U10),(Datos!K10-Datos!U10)/Datos!U10," - ")</f>
        <v>-0.61111111111111116</v>
      </c>
      <c r="E10" s="472">
        <f>IF(ISNUMBER((Datos!L10-Datos!V10)/Datos!V10),(Datos!L10-Datos!V10)/Datos!V10," - ")</f>
        <v>0.76623376623376627</v>
      </c>
      <c r="F10" s="472">
        <f>IF(ISNUMBER((Datos!M10-Datos!W10)/Datos!W10),(Datos!M10-Datos!W10)/Datos!W10," - ")</f>
        <v>-0.75</v>
      </c>
      <c r="G10" s="473">
        <f>IF(ISNUMBER((Datos!N10-Datos!X10)/Datos!X10),(Datos!N10-Datos!X10)/Datos!X10," - ")</f>
        <v>-0.6</v>
      </c>
      <c r="H10" s="471">
        <f>IF(ISNUMBER(((NºAsuntos!G10/NºAsuntos!E10)-Datos!BD10)/Datos!BD10),((NºAsuntos!G10/NºAsuntos!E10)-Datos!BD10)/Datos!BD10," - ")</f>
        <v>-0.65648148148148155</v>
      </c>
      <c r="I10" s="472">
        <f>IF(ISNUMBER(((NºAsuntos!I10/NºAsuntos!G10)-Datos!BE10)/Datos!BE10),((NºAsuntos!I10/NºAsuntos!G10)-Datos!BE10)/Datos!BE10," - ")</f>
        <v>3.5417439703153994</v>
      </c>
      <c r="J10" s="477">
        <f>IF(ISNUMBER((('Resol  Asuntos'!D10/NºAsuntos!G10)-Datos!BF10)/Datos!BF10),(('Resol  Asuntos'!D10/NºAsuntos!G10)-Datos!BF10)/Datos!BF10," - ")</f>
        <v>-0.35714285714285715</v>
      </c>
      <c r="K10" s="478">
        <f>IF(ISNUMBER((((NºAsuntos!C10+NºAsuntos!E10)/NºAsuntos!G10)-Datos!BG10)/Datos!BG10),(((NºAsuntos!C10+NºAsuntos!E10)/NºAsuntos!G10)-Datos!BG10)/Datos!BG10," - ")</f>
        <v>2.0817884405670668</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0.6186666666666667</v>
      </c>
      <c r="C11" s="472">
        <f>IF(ISNUMBER(
   IF(J_V="SI",(Datos!J11-Datos!T11)/Datos!T11,(Datos!J11+Datos!Z11-(Datos!T11+Datos!AH11))/(Datos!T11+Datos!AH11))
     ),IF(J_V="SI",(Datos!J11-Datos!T11)/Datos!T11,(Datos!J11+Datos!Z11-(Datos!T11+Datos!AH11))/(Datos!T11+Datos!AH11))," - ")</f>
        <v>-0.30857142857142855</v>
      </c>
      <c r="D11" s="472">
        <f>IF(ISNUMBER(
   IF(J_V="SI",(Datos!K11-Datos!U11)/Datos!U11,(Datos!K11+Datos!AA11-(Datos!U11+Datos!AI11))/(Datos!U11+Datos!AI11))
     ),IF(J_V="SI",(Datos!K11-Datos!U11)/Datos!U11,(Datos!K11+Datos!AA11-(Datos!U11+Datos!AI11))/(Datos!U11+Datos!AI11))," - ")</f>
        <v>2.376599634369287E-2</v>
      </c>
      <c r="E11" s="472">
        <f>IF(ISNUMBER(
   IF(J_V="SI",(Datos!L11-Datos!V11)/Datos!V11,(Datos!L11+Datos!AB11-(Datos!V11+Datos!AJ11))/(Datos!V11+Datos!AJ11))
     ),IF(J_V="SI",(Datos!L11-Datos!V11)/Datos!V11,(Datos!L11+Datos!AB11-(Datos!V11+Datos!AJ11))/(Datos!V11+Datos!AJ11))," - ")</f>
        <v>0.16147308781869688</v>
      </c>
      <c r="F11" s="472">
        <f>IF(ISNUMBER((Datos!M11-Datos!W11)/Datos!W11),(Datos!M11-Datos!W11)/Datos!W11," - ")</f>
        <v>-2.4242424242424242E-2</v>
      </c>
      <c r="G11" s="473">
        <f>IF(ISNUMBER((Datos!N11-Datos!X11)/Datos!X11),(Datos!N11-Datos!X11)/Datos!X11," - ")</f>
        <v>-0.12794612794612795</v>
      </c>
      <c r="H11" s="471">
        <f>IF(ISNUMBER(((NºAsuntos!G11/NºAsuntos!E11)-Datos!BD11)/Datos!BD11),((NºAsuntos!G11/NºAsuntos!E11)-Datos!BD11)/Datos!BD11," - ")</f>
        <v>0.48065330049707655</v>
      </c>
      <c r="I11" s="472">
        <f>IF(ISNUMBER(((NºAsuntos!I11/NºAsuntos!G11)-Datos!BE11)/Datos!BE11),((NºAsuntos!I11/NºAsuntos!G11)-Datos!BE11)/Datos!BE11," - ")</f>
        <v>0.13451031970861993</v>
      </c>
      <c r="J11" s="477">
        <f>IF(ISNUMBER((('Resol  Asuntos'!D11/NºAsuntos!G11)-Datos!BF11)/Datos!BF11),(('Resol  Asuntos'!D11/NºAsuntos!G11)-Datos!BF11)/Datos!BF11," - ")</f>
        <v>-0.47049663299663302</v>
      </c>
      <c r="K11" s="478">
        <f>IF(ISNUMBER((((NºAsuntos!C11+NºAsuntos!E11)/NºAsuntos!G11)-Datos!BG11)/Datos!BG11),(((NºAsuntos!C11+NºAsuntos!E11)/NºAsuntos!G11)-Datos!BG11)/Datos!BG11," - ")</f>
        <v>5.2757936507936476E-2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0.1574775409547296</v>
      </c>
      <c r="C13" s="1001">
        <f>IF(ISNUMBER(
   IF(J_V="SI",(Datos!J13-Datos!T13)/Datos!T13,(Datos!J13+Datos!Z13-(Datos!T13+Datos!AH13))/(Datos!T13+Datos!AH13))
     ),IF(J_V="SI",(Datos!J13-Datos!T13)/Datos!T13,(Datos!J13+Datos!Z13-(Datos!T13+Datos!AH13))/(Datos!T13+Datos!AH13))," - ")</f>
        <v>-0.54681729306973714</v>
      </c>
      <c r="D13" s="1001">
        <f>IF(ISNUMBER(
   IF(J_V="SI",(Datos!K13-Datos!U13)/Datos!U13,(Datos!K13+Datos!AA13-(Datos!U13+Datos!AI13))/(Datos!U13+Datos!AI13))
     ),IF(J_V="SI",(Datos!K13-Datos!U13)/Datos!U13,(Datos!K13+Datos!AA13-(Datos!U13+Datos!AI13))/(Datos!U13+Datos!AI13))," - ")</f>
        <v>-0.3633012492320295</v>
      </c>
      <c r="E13" s="1001">
        <f>IF(ISNUMBER(
   IF(J_V="SI",(Datos!L13-Datos!V13)/Datos!V13,(Datos!L13+Datos!AB13-(Datos!V13+Datos!AJ13))/(Datos!V13+Datos!AJ13))
     ),IF(J_V="SI",(Datos!L13-Datos!V13)/Datos!V13,(Datos!L13+Datos!AB13-(Datos!V13+Datos!AJ13))/(Datos!V13+Datos!AJ13))," - ")</f>
        <v>2.5041736227045076E-2</v>
      </c>
      <c r="F13" s="1002">
        <f>IF(ISNUMBER((Datos!M13-Datos!W13)/Datos!W13),(Datos!M13-Datos!W13)/Datos!W13," - ")</f>
        <v>-0.43497509684560043</v>
      </c>
      <c r="G13" s="1003">
        <f>IF(ISNUMBER((Datos!N13-Datos!X13)/Datos!X13),(Datos!N13-Datos!X13)/Datos!X13," - ")</f>
        <v>-0.27700463883366466</v>
      </c>
      <c r="H13" s="1003">
        <f>IF(ISNUMBER(((NºAsuntos!G13/NºAsuntos!E13)-Datos!BD13)/Datos!BD13),((NºAsuntos!G13/NºAsuntos!E13)-Datos!BD13)/Datos!BD13," - ")</f>
        <v>0.40494935272529642</v>
      </c>
      <c r="I13" s="1003">
        <f>IF(ISNUMBER(((NºAsuntos!I13/NºAsuntos!G13)-Datos!BE13)/Datos!BE13),((NºAsuntos!I13/NºAsuntos!G13)-Datos!BE13)/Datos!BE13," - ")</f>
        <v>0.60993206754476081</v>
      </c>
      <c r="J13" s="1003">
        <f>IF(ISNUMBER((('Resol  Asuntos'!D13/NºAsuntos!G13)-Datos!BF13)/Datos!BF13),(('Resol  Asuntos'!D13/NºAsuntos!G13)-Datos!BF13)/Datos!BF13," - ")</f>
        <v>5.9870529178129635E-2</v>
      </c>
      <c r="K13" s="1003">
        <f>IF(ISNUMBER((((NºAsuntos!C13+NºAsuntos!E13)/NºAsuntos!G13)-Datos!BG13)/Datos!BG13),(((NºAsuntos!C13+NºAsuntos!E13)/NºAsuntos!G13)-Datos!BG13)/Datos!BG13," - ")</f>
        <v>0.32263589578642649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0.21502890173410405</v>
      </c>
      <c r="C15" s="472">
        <f>IF(ISNUMBER(
   IF(D_I="SI",(Datos!J15-Datos!T15)/Datos!T15,(Datos!J15+Datos!AD15-(Datos!T15+Datos!AL15))/(Datos!T15+Datos!AL15))
     ),IF(D_I="SI",(Datos!J15-Datos!T15)/Datos!T15,(Datos!J15+Datos!AD15-(Datos!T15+Datos!AL15))/(Datos!T15+Datos!AL15))," - ")</f>
        <v>1.7161244190203789E-2</v>
      </c>
      <c r="D15" s="472">
        <f>IF(ISNUMBER(
   IF(D_I="SI",(Datos!K15-Datos!U15)/Datos!U15,(Datos!K15+Datos!AE15-(Datos!U15+Datos!AM15))/(Datos!U15+Datos!AM15))
     ),IF(D_I="SI",(Datos!K15-Datos!U15)/Datos!U15,(Datos!K15+Datos!AE15-(Datos!U15+Datos!AM15))/(Datos!U15+Datos!AM15))," - ")</f>
        <v>-0.16351540616246499</v>
      </c>
      <c r="E15" s="472">
        <f>IF(ISNUMBER(
   IF(D_I="SI",(Datos!L15-Datos!V15)/Datos!V15,(Datos!L15+Datos!AF15-(Datos!V15+Datos!AN15))/(Datos!V15+Datos!AN15))
     ),IF(D_I="SI",(Datos!L15-Datos!V15)/Datos!V15,(Datos!L15+Datos!AF15-(Datos!V15+Datos!AN15))/(Datos!V15+Datos!AN15))," - ")</f>
        <v>0.5370919881305638</v>
      </c>
      <c r="F15" s="472">
        <f>IF(ISNUMBER((Datos!M15-Datos!W15)/Datos!W15),(Datos!M15-Datos!W15)/Datos!W15," - ")</f>
        <v>-6.8965517241379309E-2</v>
      </c>
      <c r="G15" s="473">
        <f>IF(ISNUMBER((Datos!N15-Datos!X15)/Datos!X15),(Datos!N15-Datos!X15)/Datos!X15," - ")</f>
        <v>-0.15840572304547776</v>
      </c>
      <c r="H15" s="471">
        <f>IF(ISNUMBER(((NºAsuntos!G15/NºAsuntos!E15)-Datos!BD15)/Datos!BD15),((NºAsuntos!G15/NºAsuntos!E15)-Datos!BD15)/Datos!BD15," - ")</f>
        <v>-0.17762832725357283</v>
      </c>
      <c r="I15" s="472">
        <f>IF(ISNUMBER(((NºAsuntos!I15/NºAsuntos!G15)-Datos!BE15)/Datos!BE15),((NºAsuntos!I15/NºAsuntos!G15)-Datos!BE15)/Datos!BE15," - ")</f>
        <v>0.83756162331556738</v>
      </c>
      <c r="J15" s="477">
        <f>IF(ISNUMBER((('Resol  Asuntos'!D15/NºAsuntos!G15)-Datos!BF15)/Datos!BF15),(('Resol  Asuntos'!D15/NºAsuntos!G15)-Datos!BF15)/Datos!BF15," - ")</f>
        <v>0.11303243313462559</v>
      </c>
      <c r="K15" s="478">
        <f>IF(ISNUMBER((((NºAsuntos!C15+NºAsuntos!E15)/NºAsuntos!G15)-Datos!BG15)/Datos!BG15),(((NºAsuntos!C15+NºAsuntos!E15)/NºAsuntos!G15)-Datos!BG15)/Datos!BG15," - ")</f>
        <v>0.30639187062638812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0.42335766423357662</v>
      </c>
      <c r="C17" s="472">
        <f>IF(ISNUMBER(
   IF(D_I="SI",(Datos!J17-Datos!T17)/Datos!T17,(Datos!J17+Datos!AD17-(Datos!T17+Datos!AL17))/(Datos!T17+Datos!AL17))
     ),IF(D_I="SI",(Datos!J17-Datos!T17)/Datos!T17,(Datos!J17+Datos!AD17-(Datos!T17+Datos!AL17))/(Datos!T17+Datos!AL17))," - ")</f>
        <v>-0.14906832298136646</v>
      </c>
      <c r="D17" s="472">
        <f>IF(ISNUMBER(
   IF(D_I="SI",(Datos!K17-Datos!U17)/Datos!U17,(Datos!K17+Datos!AE17-(Datos!U17+Datos!AM17))/(Datos!U17+Datos!AM17))
     ),IF(D_I="SI",(Datos!K17-Datos!U17)/Datos!U17,(Datos!K17+Datos!AE17-(Datos!U17+Datos!AM17))/(Datos!U17+Datos!AM17))," - ")</f>
        <v>-0.48916408668730649</v>
      </c>
      <c r="E17" s="472">
        <f>IF(ISNUMBER(
   IF(D_I="SI",(Datos!L17-Datos!V17)/Datos!V17,(Datos!L17+Datos!AF17-(Datos!V17+Datos!AN17))/(Datos!V17+Datos!AN17))
     ),IF(D_I="SI",(Datos!L17-Datos!V17)/Datos!V17,(Datos!L17+Datos!AF17-(Datos!V17+Datos!AN17))/(Datos!V17+Datos!AN17))," - ")</f>
        <v>1.2352941176470589</v>
      </c>
      <c r="F17" s="472">
        <f>IF(ISNUMBER((Datos!M17-Datos!W17)/Datos!W17),(Datos!M17-Datos!W17)/Datos!W17," - ")</f>
        <v>-0.55555555555555558</v>
      </c>
      <c r="G17" s="473">
        <f>IF(ISNUMBER((Datos!N17-Datos!X17)/Datos!X17),(Datos!N17-Datos!X17)/Datos!X17," - ")</f>
        <v>-0.30519480519480519</v>
      </c>
      <c r="H17" s="471">
        <f>IF(ISNUMBER(((NºAsuntos!G17/NºAsuntos!E17)-Datos!BD17)/Datos!BD17),((NºAsuntos!G17/NºAsuntos!E17)-Datos!BD17)/Datos!BD17," - ")</f>
        <v>-0.39967458362522879</v>
      </c>
      <c r="I17" s="472">
        <f>IF(ISNUMBER(((NºAsuntos!I17/NºAsuntos!G17)-Datos!BE17)/Datos!BE17),((NºAsuntos!I17/NºAsuntos!G17)-Datos!BE17)/Datos!BE17," - ")</f>
        <v>3.3757575757575764</v>
      </c>
      <c r="J17" s="477">
        <f>IF(ISNUMBER((('Resol  Asuntos'!D17/NºAsuntos!G17)-Datos!BF17)/Datos!BF17),(('Resol  Asuntos'!D17/NºAsuntos!G17)-Datos!BF17)/Datos!BF17," - ")</f>
        <v>-0.12996632996632995</v>
      </c>
      <c r="K17" s="478">
        <f>IF(ISNUMBER((((NºAsuntos!C17+NºAsuntos!E17)/NºAsuntos!G17)-Datos!BG17)/Datos!BG17),(((NºAsuntos!C17+NºAsuntos!E17)/NºAsuntos!G17)-Datos!BG17)/Datos!BG17," - ")</f>
        <v>1.0002244668911335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0.23031601499732191</v>
      </c>
      <c r="C18" s="1001">
        <f>IF(ISNUMBER(
   IF(Criterios!B14="SI",(Datos!J18-Datos!T18)/Datos!T18,(Datos!J18+Datos!AD18-(Datos!T18+Datos!AL18))/(Datos!T18+Datos!AL18))
     ),IF(Criterios!B14="SI",(Datos!J18-Datos!T18)/Datos!T18,(Datos!J18+Datos!AD18-(Datos!T18+Datos!AL18))/(Datos!T18+Datos!AL18))," - ")</f>
        <v>0</v>
      </c>
      <c r="D18" s="1001">
        <f>IF(ISNUMBER(
   IF(Criterios!B14="SI",(Datos!K18-Datos!U18)/Datos!U18,(Datos!K18+Datos!AE18-(Datos!U18+Datos!AM18))/(Datos!U18+Datos!AM18))
     ),IF(Criterios!B14="SI",(Datos!K18-Datos!U18)/Datos!U18,(Datos!K18+Datos!AE18-(Datos!U18+Datos!AM18))/(Datos!U18+Datos!AM18))," - ")</f>
        <v>-0.19660270525322429</v>
      </c>
      <c r="E18" s="1001">
        <f>IF(ISNUMBER(
   IF(Criterios!B14="SI",(Datos!L18-Datos!V18)/Datos!V18,(Datos!L18+Datos!AF18-(Datos!V18+Datos!AN18))/(Datos!V18+Datos!AN18))
     ),IF(Criterios!B14="SI",(Datos!L18-Datos!V18)/Datos!V18,(Datos!L18+Datos!AF18-(Datos!V18+Datos!AN18))/(Datos!V18+Datos!AN18))," - ")</f>
        <v>0.5892366831411312</v>
      </c>
      <c r="F18" s="1002">
        <f>IF(ISNUMBER((Datos!M18-Datos!W18)/Datos!W18),(Datos!M18-Datos!W18)/Datos!W18," - ")</f>
        <v>-0.12993039443155452</v>
      </c>
      <c r="G18" s="1003">
        <f>IF(ISNUMBER((Datos!N18-Datos!X18)/Datos!X18),(Datos!N18-Datos!X18)/Datos!X18," - ")</f>
        <v>-0.16911416390336334</v>
      </c>
      <c r="H18" s="1003">
        <f>IF(ISNUMBER(((NºAsuntos!G18/NºAsuntos!E18)-Datos!BD18)/Datos!BD18),((NºAsuntos!G18/NºAsuntos!E18)-Datos!BD18)/Datos!BD18," - ")</f>
        <v>-0.1966027052532244</v>
      </c>
      <c r="I18" s="1003">
        <f>IF(ISNUMBER(((NºAsuntos!I18/NºAsuntos!G18)-Datos!BE18)/Datos!BE18),((NºAsuntos!I18/NºAsuntos!G18)-Datos!BE18)/Datos!BE18," - ")</f>
        <v>0.9781454251001005</v>
      </c>
      <c r="J18" s="1003">
        <f>IF(ISNUMBER((('Resol  Asuntos'!D18/NºAsuntos!G18)-Datos!BF18)/Datos!BF18),(('Resol  Asuntos'!D18/NºAsuntos!G18)-Datos!BF18)/Datos!BF18," - ")</f>
        <v>8.2987970282728224E-2</v>
      </c>
      <c r="K18" s="1003">
        <f>IF(ISNUMBER((((NºAsuntos!C18+NºAsuntos!E18)/NºAsuntos!G18)-Datos!BG18)/Datos!BG18),(((NºAsuntos!C18+NºAsuntos!E18)/NºAsuntos!G18)-Datos!BG18)/Datos!BG18," - ")</f>
        <v>0.35206016156122022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0.17550371155885472</v>
      </c>
      <c r="C19" s="948">
        <f>IF(ISNUMBER(
   IF(J_V="SI",(Datos!J19-Datos!T19)/Datos!T19,(Datos!J19+Datos!Z19-(Datos!T19+Datos!AH19))/(Datos!T19+Datos!AH19))
     ),IF(J_V="SI",(Datos!J19-Datos!T19)/Datos!T19,(Datos!J19+Datos!Z19-(Datos!T19+Datos!AH19))/(Datos!T19+Datos!AH19))," - ")</f>
        <v>-0.32595182595182592</v>
      </c>
      <c r="D19" s="948">
        <f>IF(ISNUMBER(
   IF(J_V="SI",(Datos!K19-Datos!U19)/Datos!U19,(Datos!K19+Datos!AA19-(Datos!U19+Datos!AI19))/(Datos!U19+Datos!AI19))
     ),IF(J_V="SI",(Datos!K19-Datos!U19)/Datos!U19,(Datos!K19+Datos!AA19-(Datos!U19+Datos!AI19))/(Datos!U19+Datos!AI19))," - ")</f>
        <v>-0.29756884147854129</v>
      </c>
      <c r="E19" s="948">
        <f>IF(ISNUMBER(
   IF(J_V="SI",(Datos!L19-Datos!V19)/Datos!V19,(Datos!L19+Datos!AB19-(Datos!V19+Datos!AJ19))/(Datos!V19+Datos!AJ19))
     ),IF(J_V="SI",(Datos!L19-Datos!V19)/Datos!V19,(Datos!L19+Datos!AB19-(Datos!V19+Datos!AJ19))/(Datos!V19+Datos!AJ19))," - ")</f>
        <v>0.16749861342207431</v>
      </c>
      <c r="F19" s="949">
        <f>IF(ISNUMBER((Datos!M19-Datos!W19)/Datos!W19),(Datos!M19-Datos!W19)/Datos!W19," - ")</f>
        <v>-0.37622877569258267</v>
      </c>
      <c r="G19" s="950">
        <f>IF(ISNUMBER((Datos!N19-Datos!X19)/Datos!X19),(Datos!N19-Datos!X19)/Datos!X19," - ")</f>
        <v>-0.21408839779005526</v>
      </c>
      <c r="H19" s="951">
        <f>IF(ISNUMBER((Tasas!B19-Datos!BD19)/Datos!BD19),(Tasas!B19-Datos!BD19)/Datos!BD19," - ")</f>
        <v>4.2108243247397391E-2</v>
      </c>
      <c r="I19" s="952">
        <f>IF(ISNUMBER((Tasas!C19-Datos!BE19)/Datos!BE19),(Tasas!C19-Datos!BE19)/Datos!BE19," - ")</f>
        <v>0.66208261017283465</v>
      </c>
      <c r="J19" s="953">
        <f>IF(ISNUMBER((Tasas!D19-Datos!BF19)/Datos!BF19),(Tasas!D19-Datos!BF19)/Datos!BF19," - ")</f>
        <v>2.2316546145690484E-2</v>
      </c>
      <c r="K19" s="953">
        <f>IF(ISNUMBER((Tasas!E19-Datos!BG19)/Datos!BG19),(Tasas!E19-Datos!BG19)/Datos!BG19," - ")</f>
        <v>0.31237413297776079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LdkLwLN/IFG0zkh+yv96bJv2I55yiqDuAER/0k7axnAUieWVSUm9xgCsmYrRAHXTxMAzB5whEGH2Ne8krsEmQ==" saltValue="8ZvYssf8E4Y25MeJndoH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OVIEDO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1.5201443174984968</v>
      </c>
      <c r="C9" s="459">
        <f>IF(ISNUMBER(NºAsuntos!I9/NºAsuntos!G9),NºAsuntos!I9/NºAsuntos!G9," - ")</f>
        <v>1.9699367088607596</v>
      </c>
      <c r="D9" s="460">
        <f>IF(ISNUMBER('Resol  Asuntos'!D9/NºAsuntos!G9),'Resol  Asuntos'!D9/NºAsuntos!G9," - ")</f>
        <v>0.33781645569620256</v>
      </c>
      <c r="E9" s="461">
        <f>IF(ISNUMBER((NºAsuntos!C9+NºAsuntos!E9)/NºAsuntos!G9),(NºAsuntos!C9+NºAsuntos!E9)/NºAsuntos!G9," - ")</f>
        <v>2.9786392405063293</v>
      </c>
      <c r="G9" s="479"/>
    </row>
    <row r="10" spans="1:7">
      <c r="A10" s="413" t="str">
        <f>Datos!A10</f>
        <v>Jdos. Violencia contra la mujer</v>
      </c>
      <c r="B10" s="458">
        <f>IF(ISNUMBER(NºAsuntos!G10/NºAsuntos!E10),NºAsuntos!G10/NºAsuntos!E10," - ")</f>
        <v>0.35</v>
      </c>
      <c r="C10" s="459">
        <f>IF(ISNUMBER(NºAsuntos!I10/NºAsuntos!G10),NºAsuntos!I10/NºAsuntos!G10," - ")</f>
        <v>6.4761904761904763</v>
      </c>
      <c r="D10" s="460">
        <f>IF(ISNUMBER('Resol  Asuntos'!D10/NºAsuntos!G10),'Resol  Asuntos'!D10/NºAsuntos!G10," - ")</f>
        <v>0.2857142857142857</v>
      </c>
      <c r="E10" s="461">
        <f>IF(ISNUMBER((NºAsuntos!C10+NºAsuntos!E10)/NºAsuntos!G10),(NºAsuntos!C10+NºAsuntos!E10)/NºAsuntos!G10," - ")</f>
        <v>7.4761904761904763</v>
      </c>
      <c r="G10" s="479"/>
    </row>
    <row r="11" spans="1:7">
      <c r="A11" s="413" t="str">
        <f>Datos!A11</f>
        <v xml:space="preserve">Jdos. Familia                                   </v>
      </c>
      <c r="B11" s="458">
        <f>IF(ISNUMBER(NºAsuntos!G11/NºAsuntos!E11),NºAsuntos!G11/NºAsuntos!E11," - ")</f>
        <v>1.5426997245179064</v>
      </c>
      <c r="C11" s="459">
        <f>IF(ISNUMBER(NºAsuntos!I11/NºAsuntos!G11),NºAsuntos!I11/NºAsuntos!G11," - ")</f>
        <v>0.7321428571428571</v>
      </c>
      <c r="D11" s="460">
        <f>IF(ISNUMBER('Resol  Asuntos'!D11/NºAsuntos!G11),'Resol  Asuntos'!D11/NºAsuntos!G11," - ")</f>
        <v>0.28749999999999998</v>
      </c>
      <c r="E11" s="461">
        <f>IF(ISNUMBER((NºAsuntos!C11+NºAsuntos!E11)/NºAsuntos!G11),(NºAsuntos!C11+NºAsuntos!E11)/NºAsuntos!G11," - ")</f>
        <v>1.7321428571428572</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1.490412272291467</v>
      </c>
      <c r="C13" s="1005">
        <f>IF(ISNUMBER(NºAsuntos!I13/NºAsuntos!G13),NºAsuntos!I13/NºAsuntos!G13," - ")</f>
        <v>1.7774203924091347</v>
      </c>
      <c r="D13" s="1006">
        <f>IF(ISNUMBER('Resol  Asuntos'!D13/NºAsuntos!G13),'Resol  Asuntos'!D13/NºAsuntos!G13," - ")</f>
        <v>0.32840141524605981</v>
      </c>
      <c r="E13" s="1007">
        <f>IF(ISNUMBER((NºAsuntos!C13+NºAsuntos!E13)/NºAsuntos!G13),(NºAsuntos!C13+NºAsuntos!E13)/NºAsuntos!G13," - ")</f>
        <v>2.7844966227082661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0.83971880492091389</v>
      </c>
      <c r="C15" s="459">
        <f>IF(ISNUMBER(NºAsuntos!I15/NºAsuntos!G15),NºAsuntos!I15/NºAsuntos!G15," - ")</f>
        <v>1.0841356215989955</v>
      </c>
      <c r="D15" s="460">
        <f>IF(ISNUMBER('Resol  Asuntos'!D15/NºAsuntos!G15),'Resol  Asuntos'!D15/NºAsuntos!G15," - ")</f>
        <v>0.14692339891167852</v>
      </c>
      <c r="E15" s="461">
        <f>IF(ISNUMBER((NºAsuntos!C15+NºAsuntos!E15)/NºAsuntos!G15),(NºAsuntos!C15+NºAsuntos!E15)/NºAsuntos!G15," - ")</f>
        <v>2.0707408957722895</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0.6021897810218978</v>
      </c>
      <c r="C17" s="459">
        <f>IF(ISNUMBER(NºAsuntos!I17/NºAsuntos!G17),NºAsuntos!I17/NºAsuntos!G17," - ")</f>
        <v>1.8424242424242425</v>
      </c>
      <c r="D17" s="460">
        <f>IF(ISNUMBER('Resol  Asuntos'!D17/NºAsuntos!G17),'Resol  Asuntos'!D17/NºAsuntos!G17," - ")</f>
        <v>0.14545454545454545</v>
      </c>
      <c r="E17" s="461">
        <f>IF(ISNUMBER((NºAsuntos!C17+NºAsuntos!E17)/NºAsuntos!G17),(NºAsuntos!C17+NºAsuntos!E17)/NºAsuntos!G17," - ")</f>
        <v>2.8424242424242423</v>
      </c>
      <c r="G17" s="479"/>
    </row>
    <row r="18" spans="1:7" ht="14.25" thickTop="1" thickBot="1">
      <c r="A18" s="994" t="str">
        <f>Datos!A18</f>
        <v>TOTAL</v>
      </c>
      <c r="B18" s="1004">
        <f>IF(ISNUMBER(NºAsuntos!G18/NºAsuntos!E18),NºAsuntos!G18/NºAsuntos!E18," - ")</f>
        <v>0.81885219621673611</v>
      </c>
      <c r="C18" s="1005">
        <f>IF(ISNUMBER(NºAsuntos!I18/NºAsuntos!G18),NºAsuntos!I18/NºAsuntos!G18," - ")</f>
        <v>1.1331245105716523</v>
      </c>
      <c r="D18" s="1008">
        <f>IF(ISNUMBER('Resol  Asuntos'!D18/NºAsuntos!G18),'Resol  Asuntos'!D18/NºAsuntos!G18," - ")</f>
        <v>0.14682850430696945</v>
      </c>
      <c r="E18" s="1007">
        <f>IF(ISNUMBER((NºAsuntos!C18+NºAsuntos!E18)/NºAsuntos!G18),(NºAsuntos!C18+NºAsuntos!E18)/NºAsuntos!G18," - ")</f>
        <v>2.1205951448707907</v>
      </c>
      <c r="G18" s="479"/>
    </row>
    <row r="19" spans="1:7" ht="15.75" customHeight="1" thickTop="1" thickBot="1">
      <c r="A19" s="939" t="str">
        <f>Datos!A19</f>
        <v>TOTAL JURISDICCIONES</v>
      </c>
      <c r="B19" s="954">
        <f>IF(ISNUMBER(NºAsuntos!G19/NºAsuntos!E19),NºAsuntos!G19/NºAsuntos!E19," - ")</f>
        <v>1.0879923150816522</v>
      </c>
      <c r="C19" s="955">
        <f>IF(ISNUMBER(NºAsuntos!I19/NºAsuntos!G19),NºAsuntos!I19/NºAsuntos!G19," - ")</f>
        <v>1.4868444287480134</v>
      </c>
      <c r="D19" s="956">
        <f>IF(ISNUMBER('Resol  Asuntos'!D19/NºAsuntos!G19),'Resol  Asuntos'!D19/NºAsuntos!G19," - ")</f>
        <v>0.24651244923185592</v>
      </c>
      <c r="E19" s="957">
        <f>IF(ISNUMBER((NºAsuntos!C19+NºAsuntos!E19)/NºAsuntos!G19),(NºAsuntos!C19+NºAsuntos!E19)/NºAsuntos!G19," - ")</f>
        <v>2.4850785802578139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duCRyi4ig8tjvIc9GIHbEn6zvRpLKCSHhgJTOL+Qcy/4E7JmO3trjCK0JkaVNDMDyWa9O3itQkGgln8lE4uGag==" saltValue="HbOh7hAOAOUOc6YgLwJS6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OVIEDO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9</v>
      </c>
      <c r="B9" s="181" t="s">
        <v>249</v>
      </c>
      <c r="C9" s="164" t="str">
        <f>Datos!A9</f>
        <v xml:space="preserve">Jdos. 1ª Instancia   </v>
      </c>
      <c r="D9" s="164"/>
      <c r="E9" s="1201">
        <f>IF(ISNUMBER(Datos!AQ9),Datos!AQ9," - ")</f>
        <v>9</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364</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798</v>
      </c>
      <c r="Y9" s="343">
        <f>SUM(W9:X9)</f>
        <v>798</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10098</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854</v>
      </c>
      <c r="AJ9" s="233" t="str">
        <f>IF(ISNUMBER(Datos!BW9),Datos!BW9," - ")</f>
        <v xml:space="preserve"> - </v>
      </c>
      <c r="AK9" s="232" t="str">
        <f>IF(ISNUMBER(Datos!BX9),Datos!BX9," - ")</f>
        <v xml:space="preserve"> - </v>
      </c>
      <c r="AL9" s="247">
        <f>IF(ISNUMBER(NºAsuntos!G9/NºAsuntos!E9),NºAsuntos!G9/NºAsuntos!E9," - ")</f>
        <v>1.5201443174984968</v>
      </c>
      <c r="AM9" s="264">
        <f>IF(ISNUMBER(((NºAsuntos!I9/NºAsuntos!G9)*11)/factor_trimestre),((NºAsuntos!I9/NºAsuntos!G9)*11)/factor_trimestre," - ")</f>
        <v>5.9098101265822791</v>
      </c>
      <c r="AN9" s="248">
        <f>IF(ISNUMBER('Resol  Asuntos'!D9/NºAsuntos!G9),'Resol  Asuntos'!D9/NºAsuntos!G9," - ")</f>
        <v>0.33781645569620256</v>
      </c>
      <c r="AO9" s="249">
        <f>IF(ISNUMBER((NºAsuntos!C9+NºAsuntos!E9)/NºAsuntos!G9),(NºAsuntos!C9+NºAsuntos!E9)/NºAsuntos!G9," - ")</f>
        <v>2.9786392405063293</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97</v>
      </c>
      <c r="G10" s="342">
        <f>IF(ISNUMBER(Datos!I10),Datos!I10," - ")</f>
        <v>97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9</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21</v>
      </c>
      <c r="X10" s="230">
        <f>IF(ISNUMBER(Datos!Q10),Datos!Q10," - ")</f>
        <v>4</v>
      </c>
      <c r="Y10" s="343">
        <f t="shared" ref="Y10:Y12" si="0">SUM(W10:X10)</f>
        <v>25</v>
      </c>
      <c r="Z10" s="344" t="str">
        <f>IF(ISNUMBER(Datos!CC10),Datos!CC10," - ")</f>
        <v xml:space="preserve"> - </v>
      </c>
      <c r="AA10" s="341">
        <f>IF(ISNUMBER(Datos!L10),Datos!L10,"-")</f>
        <v>136</v>
      </c>
      <c r="AB10" s="343">
        <f>IF(ISNUMBER(Datos!R10),Datos!R10," - ")</f>
        <v>78</v>
      </c>
      <c r="AC10" s="343">
        <f t="shared" ref="AC10:AC12" si="1">IF(ISNUMBER(AA10+AB10),AA10+AB10," - ")</f>
        <v>214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0.35</v>
      </c>
      <c r="AM10" s="264">
        <f>IF(ISNUMBER(((NºAsuntos!I10/NºAsuntos!G10)*11)/factor_trimestre),((NºAsuntos!I10/NºAsuntos!G10)*11)/factor_trimestre," - ")</f>
        <v>19.428571428571431</v>
      </c>
      <c r="AN10" s="248">
        <f>IF(ISNUMBER('Resol  Asuntos'!D10/NºAsuntos!G10),'Resol  Asuntos'!D10/NºAsuntos!G10," - ")</f>
        <v>0.2857142857142857</v>
      </c>
      <c r="AO10" s="249">
        <f>IF(ISNUMBER((NºAsuntos!C10+NºAsuntos!E10)/NºAsuntos!G10),(NºAsuntos!C10+NºAsuntos!E10)/NºAsuntos!G10," - ")</f>
        <v>7.4761904761904763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27</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41</v>
      </c>
      <c r="Y11" s="343">
        <f t="shared" si="0"/>
        <v>41</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337</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161</v>
      </c>
      <c r="AJ11" s="235" t="str">
        <f>IF(ISNUMBER(Datos!BW11),Datos!BW11," - ")</f>
        <v xml:space="preserve"> - </v>
      </c>
      <c r="AK11" s="236" t="str">
        <f>IF(ISNUMBER(Datos!BX11),Datos!BX11," - ")</f>
        <v xml:space="preserve"> - </v>
      </c>
      <c r="AL11" s="247">
        <f>IF(ISNUMBER(NºAsuntos!G11/NºAsuntos!E11),NºAsuntos!G11/NºAsuntos!E11," - ")</f>
        <v>1.5426997245179064</v>
      </c>
      <c r="AM11" s="264">
        <f>IF(ISNUMBER(((NºAsuntos!I11/NºAsuntos!G11)*11)/factor_trimestre),((NºAsuntos!I11/NºAsuntos!G11)*11)/factor_trimestre," - ")</f>
        <v>2.1964285714285716</v>
      </c>
      <c r="AN11" s="248">
        <f>IF(ISNUMBER('Resol  Asuntos'!D11/NºAsuntos!G11),'Resol  Asuntos'!D11/NºAsuntos!G11," - ")</f>
        <v>0.28749999999999998</v>
      </c>
      <c r="AO11" s="249">
        <f>IF(ISNUMBER((NºAsuntos!C11+NºAsuntos!E11)/NºAsuntos!G11),(NºAsuntos!C11+NºAsuntos!E11)/NºAsuntos!G11," - ")</f>
        <v>1.7321428571428572</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12</v>
      </c>
      <c r="F13" s="1011">
        <f t="shared" si="3"/>
        <v>97</v>
      </c>
      <c r="G13" s="1012">
        <f t="shared" si="3"/>
        <v>97</v>
      </c>
      <c r="H13" s="1011">
        <f t="shared" si="3"/>
        <v>0</v>
      </c>
      <c r="I13" s="1013">
        <f t="shared" si="3"/>
        <v>0</v>
      </c>
      <c r="J13" s="1013">
        <f t="shared" si="3"/>
        <v>0</v>
      </c>
      <c r="K13" s="1013">
        <f t="shared" si="3"/>
        <v>0</v>
      </c>
      <c r="L13" s="1013">
        <f t="shared" si="3"/>
        <v>400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21</v>
      </c>
      <c r="X13" s="1013">
        <f t="shared" si="4"/>
        <v>843</v>
      </c>
      <c r="Y13" s="1014">
        <f t="shared" si="4"/>
        <v>864</v>
      </c>
      <c r="Z13" s="1014">
        <f t="shared" si="4"/>
        <v>0</v>
      </c>
      <c r="AA13" s="1014">
        <f t="shared" si="4"/>
        <v>136</v>
      </c>
      <c r="AB13" s="1014">
        <f t="shared" si="4"/>
        <v>10513</v>
      </c>
      <c r="AC13" s="1014">
        <f t="shared" si="4"/>
        <v>214</v>
      </c>
      <c r="AD13" s="1014">
        <f t="shared" si="4"/>
        <v>0</v>
      </c>
      <c r="AE13" s="1018">
        <f t="shared" si="4"/>
        <v>0</v>
      </c>
      <c r="AF13" s="1011">
        <f t="shared" si="4"/>
        <v>0</v>
      </c>
      <c r="AG13" s="1019">
        <f t="shared" si="4"/>
        <v>0</v>
      </c>
      <c r="AH13" s="1016">
        <f t="shared" si="4"/>
        <v>0</v>
      </c>
      <c r="AI13" s="1011">
        <f t="shared" si="4"/>
        <v>1021</v>
      </c>
      <c r="AJ13" s="1013">
        <f t="shared" si="4"/>
        <v>0</v>
      </c>
      <c r="AK13" s="1016">
        <f>SUBTOTAL(9,AK9:AK12)</f>
        <v>0</v>
      </c>
      <c r="AL13" s="1020">
        <f>IF(ISNUMBER(NºAsuntos!G13/NºAsuntos!E13),NºAsuntos!G13/NºAsuntos!E13," - ")</f>
        <v>1.490412272291467</v>
      </c>
      <c r="AM13" s="1020">
        <f>IF(ISNUMBER(((NºAsuntos!I13/NºAsuntos!G13)*11)/factor_trimestre),((NºAsuntos!I13/NºAsuntos!G13)*11)/factor_trimestre," - ")</f>
        <v>5.3322611772274051</v>
      </c>
      <c r="AN13" s="1021">
        <f>IF(ISNUMBER('Resol  Asuntos'!D13/NºAsuntos!G13),'Resol  Asuntos'!D13/NºAsuntos!G13," - ")</f>
        <v>0.32840141524605981</v>
      </c>
      <c r="AO13" s="1022">
        <f>IF(ISNUMBER((NºAsuntos!C13+NºAsuntos!E13)/NºAsuntos!G13),(NºAsuntos!C13+NºAsuntos!E13)/NºAsuntos!G13," - ")</f>
        <v>2.7844966227082661</v>
      </c>
      <c r="AP13" s="1023" t="str">
        <f t="shared" si="2"/>
        <v xml:space="preserve"> - </v>
      </c>
      <c r="AQ13" s="1023">
        <f>IF(ISNUMBER((H13-W13+K13)/(F13)),(H13-W13+K13)/(F13)," - ")</f>
        <v>-0.21649484536082475</v>
      </c>
      <c r="AR13" s="1024">
        <f>IF(ISNUMBER((Datos!P13-Datos!Q13)/(Datos!R13-Datos!P13+Datos!Q13)),(Datos!P13-Datos!Q13)/(Datos!R13-Datos!P13+Datos!Q13)," - ")</f>
        <v>-4.0434465133260315E-2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2134</v>
      </c>
      <c r="G15" s="342">
        <f>IF(ISNUMBER(IF(D_I="SI",Datos!I15,Datos!I15+Datos!AC15)),IF(D_I="SI",Datos!I15,Datos!I15+Datos!AC15)," - ")</f>
        <v>2102</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88</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2389</v>
      </c>
      <c r="X15" s="230">
        <f>IF(ISNUMBER(Datos!Q15),Datos!Q15," - ")</f>
        <v>106</v>
      </c>
      <c r="Y15" s="343">
        <f>SUM(W15)</f>
        <v>2389</v>
      </c>
      <c r="Z15" s="344" t="str">
        <f>IF(ISNUMBER(Datos!CC15),Datos!CC15," - ")</f>
        <v xml:space="preserve"> - </v>
      </c>
      <c r="AA15" s="341">
        <f>IF(ISNUMBER(IF(D_I="SI",Datos!L15,Datos!L15+Datos!AF15)),IF(D_I="SI",Datos!L15,Datos!L15+Datos!AF15)," - ")</f>
        <v>2590</v>
      </c>
      <c r="AB15" s="343">
        <f>IF(ISNUMBER(Datos!R15),Datos!R15," - ")</f>
        <v>478</v>
      </c>
      <c r="AC15" s="343">
        <f t="shared" ref="AC15:AC17" si="6">IF(ISNUMBER(AA15+AB15),AA15+AB15," - ")</f>
        <v>3068</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351</v>
      </c>
      <c r="AJ15" s="235" t="str">
        <f>IF(ISNUMBER(Datos!BW15),Datos!BW15," - ")</f>
        <v xml:space="preserve"> - </v>
      </c>
      <c r="AK15" s="236" t="str">
        <f>IF(ISNUMBER(Datos!BX15),Datos!BX15," - ")</f>
        <v xml:space="preserve"> - </v>
      </c>
      <c r="AL15" s="247">
        <f>IF(ISNUMBER(NºAsuntos!G15/NºAsuntos!E15),NºAsuntos!G15/NºAsuntos!E15," - ")</f>
        <v>0.83971880492091389</v>
      </c>
      <c r="AM15" s="264">
        <f>IF(ISNUMBER(((NºAsuntos!I15/NºAsuntos!G15)*11)/factor_trimestre),((NºAsuntos!I15/NºAsuntos!G15)*11)/factor_trimestre," - ")</f>
        <v>3.2524068647969866</v>
      </c>
      <c r="AN15" s="248">
        <f>IF(ISNUMBER('Resol  Asuntos'!D15/NºAsuntos!G15),'Resol  Asuntos'!D15/NºAsuntos!G15," - ")</f>
        <v>0.14692339891167852</v>
      </c>
      <c r="AO15" s="249">
        <f>IF(ISNUMBER((NºAsuntos!C15+NºAsuntos!E15)/NºAsuntos!G15),(NºAsuntos!C15+NºAsuntos!E15)/NºAsuntos!G15," - ")</f>
        <v>2.0707408957722895</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195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5</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165</v>
      </c>
      <c r="X17" s="230">
        <f>IF(ISNUMBER(Datos!Q17),Datos!Q17," - ")</f>
        <v>3</v>
      </c>
      <c r="Y17" s="343">
        <f t="shared" si="7"/>
        <v>168</v>
      </c>
      <c r="Z17" s="344" t="str">
        <f>IF(ISNUMBER(Datos!CC17),Datos!CC17," - ")</f>
        <v xml:space="preserve"> - </v>
      </c>
      <c r="AA17" s="341">
        <f>IF(ISNUMBER(Datos!L17),Datos!L17,"-")</f>
        <v>304</v>
      </c>
      <c r="AB17" s="343">
        <f>IF(ISNUMBER(Datos!R17),Datos!R17," - ")</f>
        <v>15</v>
      </c>
      <c r="AC17" s="343">
        <f t="shared" si="6"/>
        <v>319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24</v>
      </c>
      <c r="AJ17" s="235" t="str">
        <f>IF(ISNUMBER(Datos!BW17),Datos!BW17," - ")</f>
        <v xml:space="preserve"> - </v>
      </c>
      <c r="AK17" s="236" t="str">
        <f>IF(ISNUMBER(Datos!BX17),Datos!BX17," - ")</f>
        <v xml:space="preserve"> - </v>
      </c>
      <c r="AL17" s="247">
        <f>IF(ISNUMBER(NºAsuntos!G17/NºAsuntos!E17),NºAsuntos!G17/NºAsuntos!E17," - ")</f>
        <v>0.6021897810218978</v>
      </c>
      <c r="AM17" s="264">
        <f>IF(ISNUMBER(((NºAsuntos!I17/NºAsuntos!G17)*11)/factor_trimestre),((NºAsuntos!I17/NºAsuntos!G17)*11)/factor_trimestre," - ")</f>
        <v>5.5272727272727282</v>
      </c>
      <c r="AN17" s="248">
        <f>IF(ISNUMBER('Resol  Asuntos'!D17/NºAsuntos!G17),'Resol  Asuntos'!D17/NºAsuntos!G17," - ")</f>
        <v>0.14545454545454545</v>
      </c>
      <c r="AO17" s="249">
        <f>IF(ISNUMBER((NºAsuntos!C17+NºAsuntos!E17)/NºAsuntos!G17),(NºAsuntos!C17+NºAsuntos!E17)/NºAsuntos!G17," - ")</f>
        <v>2.8424242424242423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2134</v>
      </c>
      <c r="G18" s="1012">
        <f>SUBTOTAL(9,G15:G17)</f>
        <v>2297</v>
      </c>
      <c r="H18" s="1011">
        <f t="shared" ref="H18:O18" si="10">SUBTOTAL(9,H14:H17)</f>
        <v>0</v>
      </c>
      <c r="I18" s="1013">
        <f t="shared" si="10"/>
        <v>0</v>
      </c>
      <c r="J18" s="1013">
        <f t="shared" si="10"/>
        <v>0</v>
      </c>
      <c r="K18" s="1013">
        <f t="shared" si="10"/>
        <v>0</v>
      </c>
      <c r="L18" s="1013">
        <f t="shared" si="10"/>
        <v>93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2554</v>
      </c>
      <c r="X18" s="1013">
        <f t="shared" si="11"/>
        <v>109</v>
      </c>
      <c r="Y18" s="1014">
        <f t="shared" si="11"/>
        <v>2557</v>
      </c>
      <c r="Z18" s="1014">
        <f t="shared" si="11"/>
        <v>0</v>
      </c>
      <c r="AA18" s="1014">
        <f t="shared" si="11"/>
        <v>2894</v>
      </c>
      <c r="AB18" s="1014">
        <f t="shared" si="11"/>
        <v>493</v>
      </c>
      <c r="AC18" s="1014">
        <f t="shared" si="11"/>
        <v>3387</v>
      </c>
      <c r="AD18" s="1014">
        <f t="shared" si="11"/>
        <v>0</v>
      </c>
      <c r="AE18" s="1018">
        <f t="shared" si="11"/>
        <v>0</v>
      </c>
      <c r="AF18" s="1011">
        <f t="shared" si="11"/>
        <v>0</v>
      </c>
      <c r="AG18" s="1019">
        <f t="shared" si="11"/>
        <v>0</v>
      </c>
      <c r="AH18" s="1016">
        <f t="shared" si="11"/>
        <v>0</v>
      </c>
      <c r="AI18" s="1011">
        <f t="shared" si="11"/>
        <v>375</v>
      </c>
      <c r="AJ18" s="1013">
        <f t="shared" si="11"/>
        <v>0</v>
      </c>
      <c r="AK18" s="1016">
        <f t="shared" si="11"/>
        <v>0</v>
      </c>
      <c r="AL18" s="1020">
        <f>IF(ISNUMBER(NºAsuntos!G18/NºAsuntos!E18),NºAsuntos!G18/NºAsuntos!E18," - ")</f>
        <v>0.81885219621673611</v>
      </c>
      <c r="AM18" s="1020">
        <f>IF(ISNUMBER(((NºAsuntos!I18/NºAsuntos!G18)*11)/factor_trimestre),((NºAsuntos!I18/NºAsuntos!G18)*11)/factor_trimestre," - ")</f>
        <v>3.3993735317149572</v>
      </c>
      <c r="AN18" s="1021">
        <f>IF(ISNUMBER('Resol  Asuntos'!D18/NºAsuntos!G18),'Resol  Asuntos'!D18/NºAsuntos!G18," - ")</f>
        <v>0.14682850430696945</v>
      </c>
      <c r="AO18" s="1022">
        <f>IF(ISNUMBER((NºAsuntos!C18+NºAsuntos!E18)/NºAsuntos!G18),(NºAsuntos!C18+NºAsuntos!E18)/NºAsuntos!G18," - ")</f>
        <v>2.1205951448707907</v>
      </c>
      <c r="AP18" s="1023" t="str">
        <f t="shared" si="2"/>
        <v xml:space="preserve"> - </v>
      </c>
      <c r="AQ18" s="1023">
        <f>IF(ISNUMBER((H18-W18+K18)/(F18)),(H18-W18+K18)/(F18)," - ")</f>
        <v>-1.196813495782568</v>
      </c>
      <c r="AR18" s="1024">
        <f>IF(ISNUMBER((Datos!P18-Datos!Q18)/(Datos!R18-Datos!P18+Datos!Q18)),(Datos!P18-Datos!Q18)/(Datos!R18-Datos!P18+Datos!Q18)," - ")</f>
        <v>-3.1434184675834968E-2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17</v>
      </c>
      <c r="F19" s="966">
        <f t="shared" si="13"/>
        <v>2231</v>
      </c>
      <c r="G19" s="967">
        <f t="shared" si="13"/>
        <v>2394</v>
      </c>
      <c r="H19" s="966">
        <f t="shared" si="13"/>
        <v>0</v>
      </c>
      <c r="I19" s="968">
        <f t="shared" si="13"/>
        <v>0</v>
      </c>
      <c r="J19" s="968">
        <f t="shared" si="13"/>
        <v>0</v>
      </c>
      <c r="K19" s="1027">
        <f t="shared" si="13"/>
        <v>0</v>
      </c>
      <c r="L19" s="968">
        <f t="shared" si="13"/>
        <v>493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2575</v>
      </c>
      <c r="X19" s="967">
        <f t="shared" si="14"/>
        <v>952</v>
      </c>
      <c r="Y19" s="974">
        <f t="shared" si="14"/>
        <v>3421</v>
      </c>
      <c r="Z19" s="974">
        <f t="shared" si="14"/>
        <v>0</v>
      </c>
      <c r="AA19" s="974">
        <f t="shared" si="14"/>
        <v>3030</v>
      </c>
      <c r="AB19" s="974">
        <f t="shared" si="14"/>
        <v>11006</v>
      </c>
      <c r="AC19" s="974">
        <f t="shared" si="14"/>
        <v>3601</v>
      </c>
      <c r="AD19" s="974">
        <f t="shared" si="14"/>
        <v>0</v>
      </c>
      <c r="AE19" s="976">
        <f t="shared" si="14"/>
        <v>0</v>
      </c>
      <c r="AF19" s="977">
        <f t="shared" si="14"/>
        <v>0</v>
      </c>
      <c r="AG19" s="978">
        <f t="shared" si="14"/>
        <v>0</v>
      </c>
      <c r="AH19" s="976">
        <f t="shared" si="14"/>
        <v>0</v>
      </c>
      <c r="AI19" s="966">
        <f t="shared" si="14"/>
        <v>1396</v>
      </c>
      <c r="AJ19" s="966">
        <f t="shared" si="14"/>
        <v>0</v>
      </c>
      <c r="AK19" s="976">
        <f t="shared" si="14"/>
        <v>0</v>
      </c>
      <c r="AL19" s="1030">
        <f>IF(ISNUMBER(NºAsuntos!G19/NºAsuntos!E19),NºAsuntos!G19/NºAsuntos!E19," - ")</f>
        <v>1.0879923150816522</v>
      </c>
      <c r="AM19" s="1031">
        <f>IF(ISNUMBER(((NºAsuntos!I19/NºAsuntos!G19)*11)/factor_trimestre),((NºAsuntos!I19/NºAsuntos!G19)*11)/factor_trimestre," - ")</f>
        <v>4.4605332862440408</v>
      </c>
      <c r="AN19" s="1031">
        <f>IF(ISNUMBER('Resol  Asuntos'!D19/NºAsuntos!G19),'Resol  Asuntos'!D19/NºAsuntos!G19," - ")</f>
        <v>0.24651244923185592</v>
      </c>
      <c r="AO19" s="1032">
        <f>IF(ISNUMBER((NºAsuntos!C19+NºAsuntos!E19)/NºAsuntos!G19),(NºAsuntos!C19+NºAsuntos!E19)/NºAsuntos!G19," - ")</f>
        <v>2.4850785802578139</v>
      </c>
      <c r="AP19" s="1033" t="str">
        <f t="shared" si="2"/>
        <v xml:space="preserve"> - </v>
      </c>
      <c r="AQ19" s="1034">
        <f>IF(OR(ISNUMBER(FIND("01",Criterios!A8,1)),ISNUMBER(FIND("02",Criterios!A8,1)),ISNUMBER(FIND("03",Criterios!A8,1)),ISNUMBER(FIND("04",Criterios!A8,1))),(I19-W19+K19)/(F19-K19),(H19-W19+K19)/(F19-K19))</f>
        <v>-1.1541909457642312</v>
      </c>
      <c r="AR19" s="1035">
        <f>IF(ISNUMBER((Datos!P19-Datos!Q19)/(Datos!R19-Datos!P19+Datos!Q19)),(Datos!P19-Datos!Q19)/(Datos!R19-Datos!P19+Datos!Q19)," - ")</f>
        <v>-4.003488879197558E-2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957.6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4.2360883423796114</v>
      </c>
      <c r="F21" s="256">
        <f>IF(ISNUMBER(STDEV(F8:F18)),STDEV(F8:F18),"-")</f>
        <v>1176.0624983392677</v>
      </c>
      <c r="G21" s="257">
        <f>IF(ISNUMBER(STDEV(G8:G18)),STDEV(G8:G18),"-")</f>
        <v>1136.4932027953357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1318.5071103335015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397.59838554812592</v>
      </c>
      <c r="AJ21" s="256">
        <f t="shared" si="18"/>
        <v>0</v>
      </c>
      <c r="AK21" s="258">
        <f t="shared" si="18"/>
        <v>0</v>
      </c>
      <c r="AL21" s="253">
        <f t="shared" si="18"/>
        <v>0.49006662312708299</v>
      </c>
      <c r="AM21" s="254">
        <f t="shared" si="18"/>
        <v>5.8943212682364523</v>
      </c>
      <c r="AN21" s="254">
        <f t="shared" si="18"/>
        <v>8.9453595628403923E-2</v>
      </c>
      <c r="AO21" s="255">
        <f t="shared" si="18"/>
        <v>1.9667227908470533</v>
      </c>
      <c r="AP21" s="295" t="str">
        <f t="shared" si="18"/>
        <v>-</v>
      </c>
      <c r="AQ21" s="296">
        <f t="shared" si="18"/>
        <v>0.69318996543685896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LWpSHGcJWGxSENmd6Z/qUf/qSCnzbK+kMcSE/z+UJJntQn30UQoREFWZkyBFua9q4K9bBnFj4N2CGxXtq6tvdQ==" saltValue="sn5Lw116dtgqrbN5MI38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OVIEDO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-0.47218788627935721</v>
      </c>
      <c r="I9" s="359">
        <f>IF(ISNUMBER((Tasas!C9-Datos!BE9)/Datos!BE9),(Tasas!C9-Datos!BE9)/Datos!BE9," - ")</f>
        <v>0.70031626433012961</v>
      </c>
      <c r="J9" s="358">
        <f>IF(ISNUMBER((Tasas!D9-Datos!BF9)/Datos!BF9),(Tasas!D9-Datos!BF9)/Datos!BF9," - ")</f>
        <v>0.21353193229122419</v>
      </c>
      <c r="K9" s="360">
        <f>IF(ISNUMBER((Tasas!E9-Datos!BG9)/Datos!BG9),(Tasas!E9-Datos!BG9)/Datos!BG9," - ")</f>
        <v>0.37901754004196153</v>
      </c>
      <c r="M9" t="e">
        <f>IF(Monitorios="SI",Datos!CE9,0)</f>
        <v>#REF!</v>
      </c>
      <c r="N9" t="e">
        <f>IF(Monitorios="SI",Datos!CF9,0)</f>
        <v>#REF!</v>
      </c>
      <c r="O9" t="e">
        <f>IF(Monitorios="SI",Datos!CG9,0)</f>
        <v>#REF!</v>
      </c>
      <c r="P9" t="e">
        <f>IF(Monitorios="SI",Datos!CH9,0)</f>
        <v>#REF!</v>
      </c>
      <c r="Q9">
        <f>IF(J_V="SI",0,Datos!AG9)</f>
        <v>162</v>
      </c>
      <c r="R9">
        <f>IF(J_V="SI",0,Datos!AH9)</f>
        <v>278</v>
      </c>
      <c r="S9">
        <f>IF(J_V="SI",0,Datos!AI9)</f>
        <v>269</v>
      </c>
      <c r="T9">
        <f>IF(J_V="SI",0,Datos!AJ9)</f>
        <v>171</v>
      </c>
    </row>
    <row r="10" spans="2:20" ht="14.25">
      <c r="B10" s="279" t="s">
        <v>249</v>
      </c>
      <c r="C10" s="7" t="str">
        <f>Datos!A10</f>
        <v>Jdos. Violencia contra la mujer</v>
      </c>
      <c r="D10" s="361">
        <f>IF(ISNUMBER((Datos!I10-Datos!S10)/Datos!S10),(Datos!I10-Datos!S10)/Datos!S10," - ")</f>
        <v>0.24358974358974358</v>
      </c>
      <c r="E10" s="357">
        <f>IF(ISNUMBER((Datos!J10-Datos!T10)/Datos!T10),(Datos!J10-Datos!T10)/Datos!T10," - ")</f>
        <v>0.13207547169811321</v>
      </c>
      <c r="F10" s="357">
        <f>IF(ISNUMBER((Datos!K10-Datos!U10)/Datos!U10),(Datos!K10-Datos!U10)/Datos!U10," - ")</f>
        <v>-0.61111111111111116</v>
      </c>
      <c r="G10" s="358">
        <f>IF(ISNUMBER((Datos!L10-Datos!V10)/Datos!V10),(Datos!L10-Datos!V10)/Datos!V10," - ")</f>
        <v>0.76623376623376627</v>
      </c>
      <c r="H10" s="234">
        <f>IF(ISNUMBER((Datos!M10-Datos!W10)/Datos!W10),(Datos!M10-Datos!W10)/Datos!W10," - ")</f>
        <v>-0.75</v>
      </c>
      <c r="I10" s="359">
        <f>IF(ISNUMBER((Tasas!C10-Datos!BE10)/Datos!BE10),(Tasas!C10-Datos!BE10)/Datos!BE10," - ")</f>
        <v>3.5417439703153994</v>
      </c>
      <c r="J10" s="358">
        <f>IF(ISNUMBER((Tasas!D10-Datos!BF10)/Datos!BF10),(Tasas!D10-Datos!BF10)/Datos!BF10," - ")</f>
        <v>-0.35714285714285715</v>
      </c>
      <c r="K10" s="360">
        <f>IF(ISNUMBER((Tasas!E10-Datos!BG10)/Datos!BG10),(Tasas!E10-Datos!BG10)/Datos!BG10," - ")</f>
        <v>2.0817884405670668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-2.4242424242424242E-2</v>
      </c>
      <c r="I11" s="359">
        <f>IF(ISNUMBER((Tasas!C11-Datos!BE11)/Datos!BE11),(Tasas!C11-Datos!BE11)/Datos!BE11," - ")</f>
        <v>0.13451031970861993</v>
      </c>
      <c r="J11" s="358">
        <f>IF(ISNUMBER((Tasas!D11-Datos!BF11)/Datos!BF11),(Tasas!D11-Datos!BF11)/Datos!BF11," - ")</f>
        <v>-0.47049663299663302</v>
      </c>
      <c r="K11" s="360">
        <f>IF(ISNUMBER((Tasas!E11-Datos!BG11)/Datos!BG11),(Tasas!E11-Datos!BG11)/Datos!BG11," - ")</f>
        <v>5.2757936507936476E-2</v>
      </c>
      <c r="M11" t="e">
        <f>IF(Monitorios="SI",Datos!CE11,0)</f>
        <v>#REF!</v>
      </c>
      <c r="N11" t="e">
        <f>IF(Monitorios="SI",Datos!CF11,0)</f>
        <v>#REF!</v>
      </c>
      <c r="O11" t="e">
        <f>IF(Monitorios="SI",Datos!CG11,0)</f>
        <v>#REF!</v>
      </c>
      <c r="P11" t="e">
        <f>IF(Monitorios="SI",Datos!CH11,0)</f>
        <v>#REF!</v>
      </c>
      <c r="Q11">
        <f>IF(J_V="SI",0,Datos!AG11)</f>
        <v>65</v>
      </c>
      <c r="R11">
        <f>IF(J_V="SI",0,Datos!AH11)</f>
        <v>206</v>
      </c>
      <c r="S11">
        <f>IF(J_V="SI",0,Datos!AI11)</f>
        <v>212</v>
      </c>
      <c r="T11">
        <f>IF(J_V="SI",0,Datos!AJ11)</f>
        <v>59</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-0.43497509684560043</v>
      </c>
      <c r="I13" s="366">
        <f>IF(ISNUMBER((Tasas!C13-Datos!BE13)/Datos!BE13),(Tasas!C13-Datos!BE13)/Datos!BE13," - ")</f>
        <v>0.60993206754476081</v>
      </c>
      <c r="J13" s="364">
        <f>IF(ISNUMBER((Tasas!D13-Datos!BF13)/Datos!BF13),(Tasas!D13-Datos!BF13)/Datos!BF13," - ")</f>
        <v>5.9870529178129635E-2</v>
      </c>
      <c r="K13" s="367">
        <f>IF(ISNUMBER((Tasas!E13-Datos!BG13)/Datos!BG13),(Tasas!E13-Datos!BG13)/Datos!BG13," - ")</f>
        <v>0.32263589578642649</v>
      </c>
      <c r="M13" t="e">
        <f>IF(Monitorios="SI",Datos!CE13,0)</f>
        <v>#REF!</v>
      </c>
      <c r="N13" t="e">
        <f>IF(Monitorios="SI",Datos!CF13,0)</f>
        <v>#REF!</v>
      </c>
      <c r="O13" t="e">
        <f>IF(Monitorios="SI",Datos!CG13,0)</f>
        <v>#REF!</v>
      </c>
      <c r="P13" t="e">
        <f>IF(Monitorios="SI",Datos!CH13,0)</f>
        <v>#REF!</v>
      </c>
      <c r="Q13">
        <f>IF(J_V="SI",0,Datos!AG13)</f>
        <v>227</v>
      </c>
      <c r="R13">
        <f>IF(J_V="SI",0,Datos!AH13)</f>
        <v>484</v>
      </c>
      <c r="S13">
        <f>IF(J_V="SI",0,Datos!AI13)</f>
        <v>481</v>
      </c>
      <c r="T13">
        <f>IF(J_V="SI",0,Datos!AJ13)</f>
        <v>230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0.21502890173410405</v>
      </c>
      <c r="E15" s="357">
        <f>IF(ISNUMBER(
   IF(D_I="SI",(Datos!J15-Datos!T15)/Datos!T15,(Datos!J15+Datos!AD15-(Datos!T15+Datos!AL15))/(Datos!T15+Datos!AL15))
     ),IF(D_I="SI",(Datos!J15-Datos!T15)/Datos!T15,(Datos!J15+Datos!AD15-(Datos!T15+Datos!AL15))/(Datos!T15+Datos!AL15))," - ")</f>
        <v>1.7161244190203789E-2</v>
      </c>
      <c r="F15" s="357">
        <f>IF(ISNUMBER(
   IF(D_I="SI",(Datos!K15-Datos!U15)/Datos!U15,(Datos!K15+Datos!AE15-(Datos!U15+Datos!AM15))/(Datos!U15+Datos!AM15))
     ),IF(D_I="SI",(Datos!K15-Datos!U15)/Datos!U15,(Datos!K15+Datos!AE15-(Datos!U15+Datos!AM15))/(Datos!U15+Datos!AM15))," - ")</f>
        <v>-0.16351540616246499</v>
      </c>
      <c r="G15" s="358">
        <f>IF(ISNUMBER(
   IF(D_I="SI",(Datos!L15-Datos!V15)/Datos!V15,(Datos!L15+Datos!AF15-(Datos!V15+Datos!AN15))/(Datos!V15+Datos!AN15))
     ),IF(D_I="SI",(Datos!L15-Datos!V15)/Datos!V15,(Datos!L15+Datos!AF15-(Datos!V15+Datos!AN15))/(Datos!V15+Datos!AN15))," - ")</f>
        <v>0.5370919881305638</v>
      </c>
      <c r="H15" s="234">
        <f>IF(ISNUMBER((Datos!M15-Datos!W15)/Datos!W15),(Datos!M15-Datos!W15)/Datos!W15," - ")</f>
        <v>-6.8965517241379309E-2</v>
      </c>
      <c r="I15" s="359">
        <f>IF(ISNUMBER((Tasas!C15-Datos!BE15)/Datos!BE15),(Tasas!C15-Datos!BE15)/Datos!BE15," - ")</f>
        <v>0.83756162331556738</v>
      </c>
      <c r="J15" s="358">
        <f>IF(ISNUMBER((Tasas!D15-Datos!BF15)/Datos!BF15),(Tasas!D15-Datos!BF15)/Datos!BF15," - ")</f>
        <v>0.11303243313462559</v>
      </c>
      <c r="K15" s="360">
        <f>IF(ISNUMBER((Tasas!E15-Datos!BG15)/Datos!BG15),(Tasas!E15-Datos!BG15)/Datos!BG15," - ")</f>
        <v>0.30639187062638812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0.42335766423357662</v>
      </c>
      <c r="E17" s="357">
        <f>IF(ISNUMBER(
   IF(D_I="SI",(Datos!J17-Datos!T17)/Datos!T17,(Datos!J17+Datos!AD17-(Datos!T17+Datos!AL17))/(Datos!T17+Datos!AL17))
     ),IF(D_I="SI",(Datos!J17-Datos!T17)/Datos!T17,(Datos!J17+Datos!AD17-(Datos!T17+Datos!AL17))/(Datos!T17+Datos!AL17))," - ")</f>
        <v>-0.14906832298136646</v>
      </c>
      <c r="F17" s="357">
        <f>IF(ISNUMBER(
   IF(D_I="SI",(Datos!K17-Datos!U17)/Datos!U17,(Datos!K17+Datos!AE17-(Datos!U17+Datos!AM17))/(Datos!U17+Datos!AM17))
     ),IF(D_I="SI",(Datos!K17-Datos!U17)/Datos!U17,(Datos!K17+Datos!AE17-(Datos!U17+Datos!AM17))/(Datos!U17+Datos!AM17))," - ")</f>
        <v>-0.48916408668730649</v>
      </c>
      <c r="G17" s="358">
        <f>IF(ISNUMBER(
   IF(D_I="SI",(Datos!L17-Datos!V17)/Datos!V17,(Datos!L17+Datos!AF17-(Datos!V17+Datos!AN17))/(Datos!V17+Datos!AN17))
     ),IF(D_I="SI",(Datos!L17-Datos!V17)/Datos!V17,(Datos!L17+Datos!AF17-(Datos!V17+Datos!AN17))/(Datos!V17+Datos!AN17))," - ")</f>
        <v>1.2352941176470589</v>
      </c>
      <c r="H17" s="234">
        <f>IF(ISNUMBER((Datos!M17-Datos!W17)/Datos!W17),(Datos!M17-Datos!W17)/Datos!W17," - ")</f>
        <v>-0.55555555555555558</v>
      </c>
      <c r="I17" s="359">
        <f>IF(ISNUMBER((Tasas!C17-Datos!BE17)/Datos!BE17),(Tasas!C17-Datos!BE17)/Datos!BE17," - ")</f>
        <v>3.3757575757575764</v>
      </c>
      <c r="J17" s="358">
        <f>IF(ISNUMBER((Tasas!D17-Datos!BF17)/Datos!BF17),(Tasas!D17-Datos!BF17)/Datos!BF17," - ")</f>
        <v>-0.12996632996632995</v>
      </c>
      <c r="K17" s="360">
        <f>IF(ISNUMBER((Tasas!E17-Datos!BG17)/Datos!BG17),(Tasas!E17-Datos!BG17)/Datos!BG17," - ")</f>
        <v>1.0002244668911335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0.23031601499732191</v>
      </c>
      <c r="E18" s="363">
        <f>IF(ISNUMBER(
   IF(D_I="SI",(Datos!J18-Datos!T18)/Datos!T18,(Datos!J18+Datos!AD18-(Datos!T18+Datos!AL18))/(Datos!T18+Datos!AL18))
     ),IF(D_I="SI",(Datos!J18-Datos!T18)/Datos!T18,(Datos!J18+Datos!AD18-(Datos!T18+Datos!AL18))/(Datos!T18+Datos!AL18))," - ")</f>
        <v>0</v>
      </c>
      <c r="F18" s="363">
        <f>IF(ISNUMBER(
   IF(D_I="SI",(Datos!K18-Datos!U18)/Datos!U18,(Datos!K18+Datos!AE18-(Datos!U18+Datos!AM18))/(Datos!U18+Datos!AM18))
     ),IF(D_I="SI",(Datos!K18-Datos!U18)/Datos!U18,(Datos!K18+Datos!AE18-(Datos!U18+Datos!AM18))/(Datos!U18+Datos!AM18))," - ")</f>
        <v>-0.19660270525322429</v>
      </c>
      <c r="G18" s="364">
        <f>IF(ISNUMBER(
   IF(D_I="SI",(Datos!L18-Datos!V18)/Datos!V18,(Datos!L18+Datos!AF18-(Datos!V18+Datos!AN18))/(Datos!V18+Datos!AN18))
     ),IF(D_I="SI",(Datos!L18-Datos!V18)/Datos!V18,(Datos!L18+Datos!AF18-(Datos!V18+Datos!AN18))/(Datos!V18+Datos!AN18))," - ")</f>
        <v>0.5892366831411312</v>
      </c>
      <c r="H18" s="365">
        <f>IF(ISNUMBER((Datos!M18-Datos!W18)/Datos!W18),(Datos!M18-Datos!W18)/Datos!W18," - ")</f>
        <v>-0.12993039443155452</v>
      </c>
      <c r="I18" s="366">
        <f>IF(ISNUMBER((Tasas!C18-Datos!BE18)/Datos!BE18),(Tasas!C18-Datos!BE18)/Datos!BE18," - ")</f>
        <v>0.9781454251001005</v>
      </c>
      <c r="J18" s="364">
        <f>IF(ISNUMBER((Tasas!D18-Datos!BF18)/Datos!BF18),(Tasas!D18-Datos!BF18)/Datos!BF18," - ")</f>
        <v>8.2987970282728224E-2</v>
      </c>
      <c r="K18" s="367">
        <f>IF(ISNUMBER((Tasas!E18-Datos!BG18)/Datos!BG18),(Tasas!E18-Datos!BG18)/Datos!BG18," - ")</f>
        <v>0.35206016156122022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0.17550371155885472</v>
      </c>
      <c r="E19" s="372">
        <f>IF(ISNUMBER(
   IF(J_V="SI",(Datos!J19-Datos!T19)/Datos!T19,(Datos!J19+Datos!Z19-(Datos!T19+Datos!AH19))/(Datos!T19+Datos!AH19))
     ),IF(J_V="SI",(Datos!J19-Datos!T19)/Datos!T19,(Datos!J19+Datos!Z19-(Datos!T19+Datos!AH19))/(Datos!T19+Datos!AH19))," - ")</f>
        <v>-0.32595182595182592</v>
      </c>
      <c r="F19" s="372">
        <f>IF(ISNUMBER(
   IF(J_V="SI",(Datos!K19-Datos!U19)/Datos!U19,(Datos!K19+Datos!AA19-(Datos!U19+Datos!AI19))/(Datos!U19+Datos!AI19))
     ),IF(J_V="SI",(Datos!K19-Datos!U19)/Datos!U19,(Datos!K19+Datos!AA19-(Datos!U19+Datos!AI19))/(Datos!U19+Datos!AI19))," - ")</f>
        <v>-0.29756884147854129</v>
      </c>
      <c r="G19" s="373">
        <f>IF(ISNUMBER(
   IF(J_V="SI",(Datos!L19-Datos!V19)/Datos!V19,(Datos!L19+Datos!AB19-(Datos!V19+Datos!AJ19))/(Datos!V19+Datos!AJ19))
     ),IF(J_V="SI",(Datos!L19-Datos!V19)/Datos!V19,(Datos!L19+Datos!AB19-(Datos!V19+Datos!AJ19))/(Datos!V19+Datos!AJ19))," - ")</f>
        <v>0.16749861342207431</v>
      </c>
      <c r="H19" s="374">
        <f>IF(ISNUMBER((Datos!M19-Datos!W19)/Datos!W19),(Datos!M19-Datos!W19)/Datos!W19," - ")</f>
        <v>-0.37622877569258267</v>
      </c>
      <c r="I19" s="371">
        <f>IF(ISNUMBER((Tasas!C19-Datos!BE19)/Datos!BE19),(Tasas!C19-Datos!BE19)/Datos!BE19," - ")</f>
        <v>0.66208261017283465</v>
      </c>
      <c r="J19" s="372">
        <f>IF(ISNUMBER((Tasas!D19-Datos!BF19)/Datos!BF19),(Tasas!D19-Datos!BF19)/Datos!BF19," - ")</f>
        <v>2.2316546145690484E-2</v>
      </c>
      <c r="K19" s="373">
        <f>IF(ISNUMBER((Tasas!E19-Datos!BG19)/Datos!BG19),(Tasas!E19-Datos!BG19)/Datos!BG19," - ")</f>
        <v>0.31237413297776079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9.7556849369650742E-2</v>
      </c>
      <c r="E21" s="282">
        <f t="shared" si="1"/>
        <v>0.11541201028470291</v>
      </c>
      <c r="F21" s="282">
        <f t="shared" si="1"/>
        <v>0.21980373912054146</v>
      </c>
      <c r="G21" s="283">
        <f t="shared" si="1"/>
        <v>0.31773246433688168</v>
      </c>
      <c r="H21" s="289">
        <f t="shared" si="1"/>
        <v>0.27625597054995055</v>
      </c>
      <c r="I21" s="281">
        <f t="shared" si="1"/>
        <v>1.3952182492670691</v>
      </c>
      <c r="J21" s="282">
        <f t="shared" si="1"/>
        <v>0.25839471231790356</v>
      </c>
      <c r="K21" s="283">
        <f t="shared" si="1"/>
        <v>0.69718155857189346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56LJHsX3qgcSHsrjgghK6rQKg+AcJSUq+KGbwP/2NzF0bcxsmrG5ahLeHxcIhCnFNKX6yLtKc/RKZ5/lMd2EA==" saltValue="ZFYZSJyTbRh4hrns0Axxp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